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updateLinks="always" codeName="ThisWorkbook" defaultThemeVersion="124226"/>
  <mc:AlternateContent xmlns:mc="http://schemas.openxmlformats.org/markup-compatibility/2006">
    <mc:Choice Requires="x15">
      <x15ac:absPath xmlns:x15ac="http://schemas.microsoft.com/office/spreadsheetml/2010/11/ac" url="C:\Users\walshj\Desktop\"/>
    </mc:Choice>
  </mc:AlternateContent>
  <xr:revisionPtr revIDLastSave="0" documentId="13_ncr:1_{D63872BA-64CC-4EC3-B939-E1293D720BA9}" xr6:coauthVersionLast="47" xr6:coauthVersionMax="47" xr10:uidLastSave="{00000000-0000-0000-0000-000000000000}"/>
  <bookViews>
    <workbookView xWindow="-120" yWindow="-120" windowWidth="29040" windowHeight="15840" tabRatio="853" firstSheet="1" activeTab="2" xr2:uid="{00000000-000D-0000-FFFF-FFFF00000000}"/>
  </bookViews>
  <sheets>
    <sheet name="Drop-Down Lists" sheetId="38" state="hidden" r:id="rId1"/>
    <sheet name="Pres. Dist." sheetId="19" r:id="rId2"/>
    <sheet name="Pump-Basic(1) " sheetId="21" r:id="rId3"/>
    <sheet name="Pump Tank(1)Demand" sheetId="22" r:id="rId4"/>
    <sheet name="Tank Buoyancy" sheetId="32" r:id="rId5"/>
  </sheets>
  <definedNames>
    <definedName name="_10___45_gpm">'Pump-Basic(1) '!$N$6</definedName>
    <definedName name="AtGradeDown">'Drop-Down Lists'!$H$2:$H$27</definedName>
    <definedName name="AtGradeUp">'Drop-Down Lists'!$G$2:$G$27</definedName>
    <definedName name="Bedrooms">'Drop-Down Lists'!$A$35:$A$42</definedName>
    <definedName name="CLR">'Drop-Down Lists'!$G$30:$G$49</definedName>
    <definedName name="CoarseFragments">'Drop-Down Lists'!$J$43:$J$45</definedName>
    <definedName name="DepthAlarm">'Drop-Down Lists'!$B$30:$B$31</definedName>
    <definedName name="DepthPipe">'Drop-Down Lists'!$D$41:$D$42</definedName>
    <definedName name="DispersalMedia">'Drop-Down Lists'!$J$2:$J$3</definedName>
    <definedName name="DistHeadLoss">'Drop-Down Lists'!$E$41:$E$44</definedName>
    <definedName name="DistMedia">'Drop-Down Lists'!$E$35:$E$38</definedName>
    <definedName name="DistType">'Drop-Down Lists'!$L$69:$L$71</definedName>
    <definedName name="EfflScreen">#REF!</definedName>
    <definedName name="EffScreen">'Drop-Down Lists'!$D$33:$D$34</definedName>
    <definedName name="EndCenter">'Drop-Down Lists'!$B$27:$B$28</definedName>
    <definedName name="FlowClass">'Drop-Down Lists'!$J$6:$J$9</definedName>
    <definedName name="Gravity_Or_Pressure">'Drop-Down Lists'!$L$74:$L$75</definedName>
    <definedName name="Hue">'Drop-Down Lists'!$D$51:$D$60</definedName>
    <definedName name="LandscapePosition">'Drop-Down Lists'!$D$3:$D$10</definedName>
    <definedName name="Laterals">'Drop-Down Lists'!$K$2:$K$21</definedName>
    <definedName name="MediaDepth">'Drop-Down Lists'!$J$34:$J$36</definedName>
    <definedName name="MediaLoadRate">'Drop-Down Lists'!$D$45:$D$47</definedName>
    <definedName name="MinHead">'Drop-Down Lists'!$C$44:$C$46</definedName>
    <definedName name="MoundAbsorptionRatio">'Drop-Down Lists'!$J$17:$J$30</definedName>
    <definedName name="MPCAType">'Drop-Down Lists'!$F$62:$F$66</definedName>
    <definedName name="Nutrients">'Drop-Down Lists'!$J$62:$J$64</definedName>
    <definedName name="ObservationType">'Drop-Down Lists'!$B$50:$B$52</definedName>
    <definedName name="OtherEstabType">'Drop-Down Lists'!$L$2:$L$46</definedName>
    <definedName name="OtherEstabUnit">'Drop-Down Lists'!$M$2:$M$41</definedName>
    <definedName name="PerfDia">'Drop-Down Lists'!$D$27:$D$31</definedName>
    <definedName name="PerfSpace">'Drop-Down Lists'!$B$42:$B$48</definedName>
    <definedName name="PipeDia">'Drop-Down Lists'!$I$2:$I$8</definedName>
    <definedName name="_xlnm.Print_Area" localSheetId="0">'Drop-Down Lists'!$A$1:$M$47</definedName>
    <definedName name="_xlnm.Print_Area" localSheetId="1">'Pres. Dist.'!$A$1:$R$83</definedName>
    <definedName name="_xlnm.Print_Area" localSheetId="3">'Pump Tank(1)Demand'!$A$1:$T$55</definedName>
    <definedName name="_xlnm.Print_Area" localSheetId="2">'Pump-Basic(1) '!$A$1:$S$55</definedName>
    <definedName name="_xlnm.Print_Area" localSheetId="4">'Tank Buoyancy'!$A$1:$T$61</definedName>
    <definedName name="_xlnm.Print_Titles" localSheetId="1">'Pres. Dist.'!$1:$1</definedName>
    <definedName name="_xlnm.Print_Titles" localSheetId="3">'Pump Tank(1)Demand'!$1:$1</definedName>
    <definedName name="PumpTankDesc">'Drop-Down Lists'!$J$54:$J$59</definedName>
    <definedName name="PumpTankType">'Drop-Down Lists'!$B$62:$B$63</definedName>
    <definedName name="PumpType">'Drop-Down Lists'!$B$55:$B$56</definedName>
    <definedName name="RedoxIndicators">'Drop-Down Lists'!$F$3:$F$34</definedName>
    <definedName name="RedoxKind">'Drop-Down Lists'!$C$14:$C$20</definedName>
    <definedName name="Reduction">'Drop-Down Lists'!$D$37:$D$38</definedName>
    <definedName name="RockFragments">'Drop-Down Lists'!$J$43:$J$47</definedName>
    <definedName name="Sandy_Soil_Options">'Drop-Down Lists'!$J$49:$J$50</definedName>
    <definedName name="SHLR">'Drop-Down Lists'!$C$28:$C$40</definedName>
    <definedName name="SizeMult">'Drop-Down Lists'!$C$50:$C$51</definedName>
    <definedName name="Slope">'Drop-Down Lists'!$A$2:$A$32</definedName>
    <definedName name="SlopeShape">'Drop-Down Lists'!$C$2:$C$10</definedName>
    <definedName name="SoilTexture7080">'Drop-Down Lists'!$B$2:$B$25</definedName>
    <definedName name="SoilTextureOSTP">'Drop-Down Lists'!$E$2:$E$24</definedName>
    <definedName name="STA">'Drop-Down Lists'!$L$62:$L$66</definedName>
    <definedName name="StructureConsistence">'Drop-Down Lists'!$D$20:$D$24</definedName>
    <definedName name="StructureGrade">'Drop-Down Lists'!$C$22:$C$25</definedName>
    <definedName name="StructureShape">'Drop-Down Lists'!$D$12:$D$17</definedName>
    <definedName name="TankSize">'Drop-Down Lists'!$B$34:$B$39</definedName>
    <definedName name="TreatmentLevel">'Drop-Down Lists'!$J$67:$J$71</definedName>
    <definedName name="TypeOfWastewater">'Drop-Down Lists'!$J$74:$J$76</definedName>
    <definedName name="ValueChroma">'Drop-Down Lists'!$E$47:$E$87</definedName>
    <definedName name="VolumePipe">'Drop-Down Lists'!$E$27:$E$32</definedName>
    <definedName name="YN">'Drop-Down Lists'!$H$30:$H$31</definedName>
    <definedName name="YNOptional">'Drop-Down Lists'!$I$33:$I$35</definedName>
    <definedName name="Z_3320ADAB_1745_4CE0_B739_BF2E8269138B_.wvu.PrintArea" localSheetId="1" hidden="1">'Pres. Dist.'!$A$1:$R$76</definedName>
    <definedName name="Z_3320ADAB_1745_4CE0_B739_BF2E8269138B_.wvu.PrintArea" localSheetId="3" hidden="1">'Pump Tank(1)Demand'!$A$1:$T$55</definedName>
    <definedName name="Z_D1431318_1DB8_4C45_813B_5A8065DFC797_.wvu.PrintArea" localSheetId="0" hidden="1">'Drop-Down Lists'!$A$1:$M$47</definedName>
    <definedName name="Z_D1431318_1DB8_4C45_813B_5A8065DFC797_.wvu.PrintArea" localSheetId="1" hidden="1">'Pres. Dist.'!$A$1:$R$83</definedName>
    <definedName name="Z_D1431318_1DB8_4C45_813B_5A8065DFC797_.wvu.PrintArea" localSheetId="3" hidden="1">'Pump Tank(1)Demand'!$A$1:$T$55</definedName>
    <definedName name="Z_D1431318_1DB8_4C45_813B_5A8065DFC797_.wvu.PrintArea" localSheetId="2" hidden="1">'Pump-Basic(1) '!$A$1:$S$54</definedName>
    <definedName name="Z_D1431318_1DB8_4C45_813B_5A8065DFC797_.wvu.PrintArea" localSheetId="4" hidden="1">'Tank Buoyancy'!$A$1:$T$61</definedName>
    <definedName name="Z_D1431318_1DB8_4C45_813B_5A8065DFC797_.wvu.PrintTitles" localSheetId="1" hidden="1">'Pres. Dist.'!$1:$1</definedName>
    <definedName name="Z_D1431318_1DB8_4C45_813B_5A8065DFC797_.wvu.PrintTitles" localSheetId="3" hidden="1">'Pump Tank(1)Demand'!$1:$1</definedName>
  </definedNames>
  <calcPr calcId="191029"/>
  <customWorkbookViews>
    <customWorkbookView name="User - Personal View" guid="{3320ADAB-1745-4CE0-B739-BF2E8269138B}" mergeInterval="0" personalView="1" maximized="1" windowWidth="1676" windowHeight="838" tabRatio="853" activeSheetId="1"/>
    <customWorkbookView name="CWLECLA - Personal View" guid="{D1431318-1DB8-4C45-813B-5A8065DFC797}" mergeInterval="0" personalView="1" maximized="1" windowWidth="1600" windowHeight="977" tabRatio="894"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22" l="1"/>
  <c r="K8" i="21" l="1"/>
  <c r="E25" i="22" l="1"/>
  <c r="K2" i="19"/>
  <c r="K2" i="21"/>
  <c r="J2" i="32"/>
  <c r="S2" i="32" l="1"/>
  <c r="AU60" i="22" l="1"/>
  <c r="Q25" i="22" l="1"/>
  <c r="Q23" i="22"/>
  <c r="H57" i="32" l="1"/>
  <c r="H53" i="32"/>
  <c r="B57" i="32" s="1"/>
  <c r="B53" i="32"/>
  <c r="H47" i="32"/>
  <c r="E57" i="32" s="1"/>
  <c r="B47" i="32"/>
  <c r="F40" i="32"/>
  <c r="E53" i="32" s="1"/>
  <c r="D40" i="32"/>
  <c r="G36" i="32"/>
  <c r="B40" i="32" s="1"/>
  <c r="D36" i="32"/>
  <c r="H30" i="32"/>
  <c r="B36" i="32" s="1"/>
  <c r="R21" i="32"/>
  <c r="O21" i="32"/>
  <c r="H21" i="32"/>
  <c r="E21" i="32"/>
  <c r="Q17" i="32"/>
  <c r="L21" i="32" s="1"/>
  <c r="N17" i="32"/>
  <c r="H17" i="32"/>
  <c r="B21" i="32" s="1"/>
  <c r="N10" i="32"/>
  <c r="I10" i="32"/>
  <c r="F10" i="32"/>
  <c r="E17" i="32" s="1"/>
  <c r="C10" i="32"/>
  <c r="B17" i="32" s="1"/>
  <c r="G54" i="22"/>
  <c r="S53" i="22"/>
  <c r="S52" i="22"/>
  <c r="S51" i="22"/>
  <c r="G50" i="22"/>
  <c r="P52" i="22" s="1"/>
  <c r="C50" i="22"/>
  <c r="G47" i="22"/>
  <c r="J42" i="22"/>
  <c r="R51" i="22" s="1"/>
  <c r="F42" i="22"/>
  <c r="C40" i="22"/>
  <c r="J36" i="22"/>
  <c r="F38" i="22" s="1"/>
  <c r="J38" i="22" s="1"/>
  <c r="F40" i="22" s="1"/>
  <c r="I40" i="22" s="1"/>
  <c r="C47" i="22" s="1"/>
  <c r="J34" i="22"/>
  <c r="J32" i="22"/>
  <c r="K30" i="22"/>
  <c r="G30" i="22"/>
  <c r="K25" i="22"/>
  <c r="N21" i="22"/>
  <c r="R53" i="22" s="1"/>
  <c r="H21" i="22"/>
  <c r="W20" i="22"/>
  <c r="AF15" i="22"/>
  <c r="AA20" i="22" s="1"/>
  <c r="AE11" i="22"/>
  <c r="AE6" i="22"/>
  <c r="T2" i="22"/>
  <c r="J48" i="21"/>
  <c r="F48" i="21"/>
  <c r="B48" i="21"/>
  <c r="B39" i="21"/>
  <c r="H39" i="21" s="1"/>
  <c r="H43" i="21" s="1"/>
  <c r="S2" i="21"/>
  <c r="B69" i="19"/>
  <c r="L63" i="19"/>
  <c r="H69" i="19" s="1"/>
  <c r="E49" i="19"/>
  <c r="B49" i="19"/>
  <c r="G37" i="19"/>
  <c r="K21" i="19"/>
  <c r="G16" i="19"/>
  <c r="E69" i="19" s="1"/>
  <c r="N13" i="19"/>
  <c r="J57" i="19" s="1"/>
  <c r="F61" i="19" s="1"/>
  <c r="E7" i="19"/>
  <c r="R2" i="19"/>
  <c r="AF20" i="22" l="1"/>
  <c r="G21" i="19"/>
  <c r="H49" i="19"/>
  <c r="B53" i="19" s="1"/>
  <c r="L69" i="19"/>
  <c r="B73" i="19" s="1"/>
  <c r="G73" i="19" s="1"/>
  <c r="C38" i="22"/>
  <c r="O21" i="19"/>
  <c r="H25" i="19" s="1"/>
  <c r="M25" i="19" s="1"/>
  <c r="B37" i="19" s="1"/>
  <c r="M37" i="19" s="1"/>
  <c r="B61" i="19" s="1"/>
  <c r="L61" i="19" s="1"/>
  <c r="R52" i="22"/>
  <c r="K47" i="22"/>
  <c r="C52" i="22"/>
  <c r="C30" i="22"/>
  <c r="N2" i="22"/>
  <c r="H51" i="21" l="1"/>
  <c r="E34" i="21"/>
  <c r="B43" i="21" s="1"/>
  <c r="N43" i="21" s="1"/>
  <c r="M48" i="21" s="1"/>
  <c r="P48" i="21" s="1"/>
  <c r="O51" i="21" s="1"/>
  <c r="E53" i="19"/>
  <c r="H53" i="19" s="1"/>
  <c r="J52" i="22"/>
  <c r="G52" i="22"/>
  <c r="P49" i="22"/>
  <c r="P51" i="22" l="1"/>
  <c r="C54" i="22"/>
  <c r="J54" i="22" s="1"/>
  <c r="P50" i="22" s="1"/>
</calcChain>
</file>

<file path=xl/sharedStrings.xml><?xml version="1.0" encoding="utf-8"?>
<sst xmlns="http://schemas.openxmlformats.org/spreadsheetml/2006/main" count="907" uniqueCount="720">
  <si>
    <t>Pumping to Gravity or Pressure Distribution:</t>
  </si>
  <si>
    <t>7/32</t>
  </si>
  <si>
    <t xml:space="preserve">X </t>
  </si>
  <si>
    <t>Calculate Drainback:</t>
  </si>
  <si>
    <t>Length of Supply Pipe =</t>
  </si>
  <si>
    <t>Pump On</t>
  </si>
  <si>
    <t>Pump Off</t>
  </si>
  <si>
    <t>Alarm Depth</t>
  </si>
  <si>
    <r>
      <t>ft</t>
    </r>
    <r>
      <rPr>
        <vertAlign val="superscript"/>
        <sz val="10"/>
        <rFont val="Trebuchet MS"/>
        <family val="2"/>
      </rPr>
      <t>2</t>
    </r>
  </si>
  <si>
    <t>NA</t>
  </si>
  <si>
    <t>Comments:</t>
  </si>
  <si>
    <t>Fitting Type</t>
  </si>
  <si>
    <t xml:space="preserve">Gate Valve </t>
  </si>
  <si>
    <t>90 Deg Elbow</t>
  </si>
  <si>
    <t>45 Deg Elbow</t>
  </si>
  <si>
    <t>Tee - Flow Thru</t>
  </si>
  <si>
    <t>Tee - Branch Flow</t>
  </si>
  <si>
    <t>Swing Check Valve</t>
  </si>
  <si>
    <t>Angle Valve</t>
  </si>
  <si>
    <t>Globe Valve</t>
  </si>
  <si>
    <t>Butterfly Valve</t>
  </si>
  <si>
    <r>
      <t xml:space="preserve">between pump </t>
    </r>
    <r>
      <rPr>
        <sz val="10"/>
        <rFont val="Arial"/>
        <family val="2"/>
      </rPr>
      <t>and</t>
    </r>
    <r>
      <rPr>
        <sz val="10"/>
        <rFont val="Trebuchet MS"/>
        <family val="2"/>
      </rPr>
      <t xml:space="preserve"> point of discharge:</t>
    </r>
  </si>
  <si>
    <t>Other</t>
  </si>
  <si>
    <t>Drainfield rock &amp; pea gravel</t>
  </si>
  <si>
    <t>Sand</t>
  </si>
  <si>
    <t>1.</t>
  </si>
  <si>
    <t>2.</t>
  </si>
  <si>
    <r>
      <t xml:space="preserve">Select </t>
    </r>
    <r>
      <rPr>
        <i/>
        <sz val="10"/>
        <rFont val="Trebuchet MS"/>
        <family val="2"/>
      </rPr>
      <t>Type of Manifold Connection</t>
    </r>
    <r>
      <rPr>
        <sz val="10"/>
        <rFont val="Trebuchet MS"/>
        <family val="2"/>
      </rPr>
      <t xml:space="preserve"> (End or Center):</t>
    </r>
  </si>
  <si>
    <t>5.</t>
  </si>
  <si>
    <t>ft</t>
  </si>
  <si>
    <t>6.</t>
  </si>
  <si>
    <t>in</t>
  </si>
  <si>
    <t>7.</t>
  </si>
  <si>
    <t>Gallons</t>
  </si>
  <si>
    <t>8.</t>
  </si>
  <si>
    <t>9.</t>
  </si>
  <si>
    <r>
      <t>Volume of Distribution Piping</t>
    </r>
    <r>
      <rPr>
        <sz val="10"/>
        <rFont val="Trebuchet MS"/>
        <family val="2"/>
      </rPr>
      <t xml:space="preserve"> = </t>
    </r>
  </si>
  <si>
    <t>X</t>
  </si>
  <si>
    <t>=</t>
  </si>
  <si>
    <t>10.</t>
  </si>
  <si>
    <r>
      <t xml:space="preserve">Select </t>
    </r>
    <r>
      <rPr>
        <i/>
        <sz val="10"/>
        <rFont val="Trebuchet MS"/>
        <family val="2"/>
      </rPr>
      <t>Perforation Spacing</t>
    </r>
    <r>
      <rPr>
        <sz val="10"/>
        <rFont val="Trebuchet MS"/>
        <family val="2"/>
      </rPr>
      <t>:</t>
    </r>
  </si>
  <si>
    <t>11.</t>
  </si>
  <si>
    <t>ft =</t>
  </si>
  <si>
    <t>Spaces</t>
  </si>
  <si>
    <t>12.</t>
  </si>
  <si>
    <t>13.</t>
  </si>
  <si>
    <r>
      <t xml:space="preserve">Perforations Per Lateral </t>
    </r>
    <r>
      <rPr>
        <sz val="10"/>
        <rFont val="Trebuchet MS"/>
        <family val="2"/>
      </rPr>
      <t>=</t>
    </r>
  </si>
  <si>
    <t>1/4</t>
  </si>
  <si>
    <t>End</t>
  </si>
  <si>
    <t>3/16</t>
  </si>
  <si>
    <t>1/8</t>
  </si>
  <si>
    <t>14.</t>
  </si>
  <si>
    <t>ft   =</t>
  </si>
  <si>
    <t>ft  =</t>
  </si>
  <si>
    <t>ft  X</t>
  </si>
  <si>
    <t>ft   X</t>
  </si>
  <si>
    <t>15.</t>
  </si>
  <si>
    <t>16.</t>
  </si>
  <si>
    <t>17.</t>
  </si>
  <si>
    <r>
      <t xml:space="preserve">Select </t>
    </r>
    <r>
      <rPr>
        <i/>
        <sz val="10"/>
        <rFont val="Trebuchet MS"/>
        <family val="2"/>
      </rPr>
      <t>Minimum Average Head</t>
    </r>
    <r>
      <rPr>
        <sz val="10"/>
        <rFont val="Trebuchet MS"/>
        <family val="2"/>
      </rPr>
      <t>:</t>
    </r>
  </si>
  <si>
    <t>18.</t>
  </si>
  <si>
    <t>GPM</t>
  </si>
  <si>
    <t>Gravity Distribution</t>
  </si>
  <si>
    <t>3.</t>
  </si>
  <si>
    <t>4.</t>
  </si>
  <si>
    <t>-</t>
  </si>
  <si>
    <t>Inches</t>
  </si>
  <si>
    <t>A pump must be selected to deliver at least</t>
  </si>
  <si>
    <t>A.</t>
  </si>
  <si>
    <t>Rectangle area = Length (L) X Width (W)</t>
  </si>
  <si>
    <t>C.</t>
  </si>
  <si>
    <t>Gallons Per Inch</t>
  </si>
  <si>
    <t>Center</t>
  </si>
  <si>
    <t>Linear, Convex</t>
  </si>
  <si>
    <t>Concave, Convex</t>
  </si>
  <si>
    <t>Concave, Concave</t>
  </si>
  <si>
    <t>Concave, Linear</t>
  </si>
  <si>
    <t>Single grain</t>
  </si>
  <si>
    <t>S1</t>
  </si>
  <si>
    <t>S2</t>
  </si>
  <si>
    <t>S3</t>
  </si>
  <si>
    <t>S4</t>
  </si>
  <si>
    <t>T1</t>
  </si>
  <si>
    <t>loam</t>
  </si>
  <si>
    <t>T2</t>
  </si>
  <si>
    <t>Rigid</t>
  </si>
  <si>
    <t>T3</t>
  </si>
  <si>
    <t>medium sandy loam</t>
  </si>
  <si>
    <t>T4</t>
  </si>
  <si>
    <t>fine sandy loam</t>
  </si>
  <si>
    <t>T5</t>
  </si>
  <si>
    <t>very fine loamy sand</t>
  </si>
  <si>
    <t>T6</t>
  </si>
  <si>
    <t>medium loamy sand</t>
  </si>
  <si>
    <t>fine loamy sand</t>
  </si>
  <si>
    <t>very fine sand</t>
  </si>
  <si>
    <t>S1, T6</t>
  </si>
  <si>
    <t>medium sand</t>
  </si>
  <si>
    <t>fine sand</t>
  </si>
  <si>
    <t>S2, T6</t>
  </si>
  <si>
    <t>S3, T6</t>
  </si>
  <si>
    <t>S4, T1</t>
  </si>
  <si>
    <t>S4, T2</t>
  </si>
  <si>
    <t>S4, T6</t>
  </si>
  <si>
    <t>Bar or lounge (no meals)</t>
  </si>
  <si>
    <t>b.</t>
  </si>
  <si>
    <t>Linear, Linear</t>
  </si>
  <si>
    <t>Linear, Concave</t>
  </si>
  <si>
    <t>Summit</t>
  </si>
  <si>
    <t>S1, T2</t>
  </si>
  <si>
    <t>Convex, Linear</t>
  </si>
  <si>
    <t>Shoulder</t>
  </si>
  <si>
    <t>S1, T3</t>
  </si>
  <si>
    <t>Concentrations</t>
  </si>
  <si>
    <t>Camp, day without meals</t>
  </si>
  <si>
    <t>Convex, Convex</t>
  </si>
  <si>
    <t>Back/ Side Slope</t>
  </si>
  <si>
    <t>S1, T4</t>
  </si>
  <si>
    <t>Depletions</t>
  </si>
  <si>
    <t>Convex, Concave</t>
  </si>
  <si>
    <t>Foot Slope</t>
  </si>
  <si>
    <t>S1, T5</t>
  </si>
  <si>
    <t>Gleyed</t>
  </si>
  <si>
    <t>S2, T2</t>
  </si>
  <si>
    <t>Concentrations, gleyed</t>
  </si>
  <si>
    <t>clay</t>
  </si>
  <si>
    <t>S2, T3</t>
  </si>
  <si>
    <t>Depletions, gleyed</t>
  </si>
  <si>
    <t>silty clay</t>
  </si>
  <si>
    <t>S2, T4</t>
  </si>
  <si>
    <t>Concentrations, depletions, gleyed</t>
  </si>
  <si>
    <t>sandy clay</t>
  </si>
  <si>
    <t>S2, T5</t>
  </si>
  <si>
    <t>clay loam</t>
  </si>
  <si>
    <t>S3, T1</t>
  </si>
  <si>
    <t>silty clay loam</t>
  </si>
  <si>
    <t>gal/in =</t>
  </si>
  <si>
    <t>in +</t>
  </si>
  <si>
    <t>in  =</t>
  </si>
  <si>
    <t>in =</t>
  </si>
  <si>
    <t>S3, T2</t>
  </si>
  <si>
    <t>sandy clay loam</t>
  </si>
  <si>
    <t>S3, T3</t>
  </si>
  <si>
    <t>Blocky</t>
  </si>
  <si>
    <t>silt</t>
  </si>
  <si>
    <t>S3, T4</t>
  </si>
  <si>
    <t>Extremely Firm</t>
  </si>
  <si>
    <t>silt loam</t>
  </si>
  <si>
    <t>S3, T5</t>
  </si>
  <si>
    <t>S4, T3</t>
  </si>
  <si>
    <t>S4, T4</t>
  </si>
  <si>
    <t>S4, T5</t>
  </si>
  <si>
    <r>
      <t xml:space="preserve">Calculate </t>
    </r>
    <r>
      <rPr>
        <i/>
        <sz val="10"/>
        <rFont val="Trebuchet MS"/>
        <family val="2"/>
      </rPr>
      <t>Volume to Cover Pump</t>
    </r>
    <r>
      <rPr>
        <sz val="10"/>
        <rFont val="Trebuchet MS"/>
        <family val="2"/>
      </rPr>
      <t xml:space="preserve"> (The inlet of the pump must be at least 4-inches from the bottom of the pump tank &amp; 2 inches of water covering the pump is recommended)</t>
    </r>
  </si>
  <si>
    <t>2ft</t>
  </si>
  <si>
    <t xml:space="preserve">ft       </t>
  </si>
  <si>
    <t>ft per 100ft</t>
  </si>
  <si>
    <t>3.14     X</t>
  </si>
  <si>
    <t>Drainfield rock</t>
  </si>
  <si>
    <t>in  X</t>
  </si>
  <si>
    <t>Comments/Special Design Considerations:</t>
  </si>
  <si>
    <t>2.  HEAD REQUIREMENTS</t>
  </si>
  <si>
    <t>3.  PUMP SELECTION</t>
  </si>
  <si>
    <t>(</t>
  </si>
  <si>
    <t>+</t>
  </si>
  <si>
    <t>Design Flow:</t>
  </si>
  <si>
    <t>GPD</t>
  </si>
  <si>
    <t>Measuring from bottom of tank:</t>
  </si>
  <si>
    <t>Pressurized Bed</t>
  </si>
  <si>
    <t>I</t>
  </si>
  <si>
    <t>II</t>
  </si>
  <si>
    <t>III</t>
  </si>
  <si>
    <t>IV</t>
  </si>
  <si>
    <t>square foot</t>
  </si>
  <si>
    <t>Motel</t>
  </si>
  <si>
    <t>Rooming house</t>
  </si>
  <si>
    <t>resident</t>
  </si>
  <si>
    <t>child</t>
  </si>
  <si>
    <t>person</t>
  </si>
  <si>
    <t>Labor camp</t>
  </si>
  <si>
    <t>employee</t>
  </si>
  <si>
    <t>Commercial</t>
  </si>
  <si>
    <t>Retail store</t>
  </si>
  <si>
    <t>customer</t>
  </si>
  <si>
    <t>toilet</t>
  </si>
  <si>
    <t>Shopping center</t>
  </si>
  <si>
    <t>parking space</t>
  </si>
  <si>
    <t>Office</t>
  </si>
  <si>
    <t>Medical office*</t>
  </si>
  <si>
    <t>practitioner</t>
  </si>
  <si>
    <t>patient</t>
  </si>
  <si>
    <t>Industrial building*</t>
  </si>
  <si>
    <t>Laundromat</t>
  </si>
  <si>
    <t>Barber shop*</t>
  </si>
  <si>
    <t>chair</t>
  </si>
  <si>
    <t>Beauty salon*</t>
  </si>
  <si>
    <t>station</t>
  </si>
  <si>
    <t>with food vendor space</t>
  </si>
  <si>
    <t>seat (open 16 hours or less)</t>
  </si>
  <si>
    <t>seat (open more    than 16 hours)</t>
  </si>
  <si>
    <t>seat (open 16  hours or less, single service articles)</t>
  </si>
  <si>
    <t>seat (open more  than 16 hours,  single service   articles)</t>
  </si>
  <si>
    <t>Restaurant (short  order)</t>
  </si>
  <si>
    <t>Restaurant (drive‑ in)</t>
  </si>
  <si>
    <t>car space</t>
  </si>
  <si>
    <t>Restaurant (carry  out including caterers)</t>
  </si>
  <si>
    <t>Institutional meals</t>
  </si>
  <si>
    <t>Cafeteria</t>
  </si>
  <si>
    <t>seat</t>
  </si>
  <si>
    <t>car stall</t>
  </si>
  <si>
    <t>Theater</t>
  </si>
  <si>
    <t>auditorium seat</t>
  </si>
  <si>
    <t>Bowling alley</t>
  </si>
  <si>
    <t>alley</t>
  </si>
  <si>
    <t>visitor</t>
  </si>
  <si>
    <t>Stadium</t>
  </si>
  <si>
    <t>Permanent mobile  home</t>
  </si>
  <si>
    <t>Camp, day with meals</t>
  </si>
  <si>
    <t>Resort</t>
  </si>
  <si>
    <t>Cabin, resort</t>
  </si>
  <si>
    <t>Retail resort store</t>
  </si>
  <si>
    <t>Park or   swimming pool</t>
  </si>
  <si>
    <t>Visitor center</t>
  </si>
  <si>
    <t>convenience store customer</t>
  </si>
  <si>
    <t>Service station* customer</t>
  </si>
  <si>
    <t>service bay</t>
  </si>
  <si>
    <t>Airport, bus station, rail depot</t>
  </si>
  <si>
    <t>passenger</t>
  </si>
  <si>
    <t>restroom</t>
  </si>
  <si>
    <t>bed</t>
  </si>
  <si>
    <t>Mental health hospital*</t>
  </si>
  <si>
    <t>Prison or jail</t>
  </si>
  <si>
    <t>Nursing home, other adult congregate living</t>
  </si>
  <si>
    <t>Other public institution</t>
  </si>
  <si>
    <t>School (no gym, no cafeteria, and no showers)</t>
  </si>
  <si>
    <t>student</t>
  </si>
  <si>
    <t>School (with cafeteria, no gym and no showers)</t>
  </si>
  <si>
    <t>School (with cafeteria, gym, and showers)</t>
  </si>
  <si>
    <t>School (boarding)</t>
  </si>
  <si>
    <t>Assembly hall</t>
  </si>
  <si>
    <t>Public lavatory</t>
  </si>
  <si>
    <t>user</t>
  </si>
  <si>
    <t>Public shower</t>
  </si>
  <si>
    <t>shower taken</t>
  </si>
  <si>
    <t>add for each nonresident meal</t>
  </si>
  <si>
    <t>Labor camp (semi permanent)</t>
  </si>
  <si>
    <t>Restaurant (does not include bar or lounge)</t>
  </si>
  <si>
    <t>D.</t>
  </si>
  <si>
    <t>E.</t>
  </si>
  <si>
    <r>
      <t>Bed Area</t>
    </r>
    <r>
      <rPr>
        <sz val="10"/>
        <rFont val="Trebuchet MS"/>
        <family val="2"/>
      </rPr>
      <t xml:space="preserve">  =  Bed Width (ft) X Bed Length (ft)</t>
    </r>
  </si>
  <si>
    <r>
      <t xml:space="preserve">Calculate </t>
    </r>
    <r>
      <rPr>
        <i/>
        <sz val="10"/>
        <rFont val="Trebuchet MS"/>
        <family val="2"/>
      </rPr>
      <t>Total Tank Volume</t>
    </r>
  </si>
  <si>
    <r>
      <t>Depth from bottom of inlet pipe to tank bottom</t>
    </r>
    <r>
      <rPr>
        <sz val="10"/>
        <rFont val="Trebuchet MS"/>
        <family val="2"/>
      </rPr>
      <t>:</t>
    </r>
  </si>
  <si>
    <r>
      <t>Total Tank Volume</t>
    </r>
    <r>
      <rPr>
        <sz val="10"/>
        <rFont val="Trebuchet MS"/>
        <family val="2"/>
      </rPr>
      <t xml:space="preserve"> = </t>
    </r>
    <r>
      <rPr>
        <i/>
        <sz val="10"/>
        <rFont val="Trebuchet MS"/>
        <family val="2"/>
      </rPr>
      <t>Depth from bottom of inlet pipe</t>
    </r>
    <r>
      <rPr>
        <sz val="10"/>
        <rFont val="Trebuchet MS"/>
        <family val="2"/>
      </rPr>
      <t xml:space="preserve"> (Line 4.A) X </t>
    </r>
    <r>
      <rPr>
        <i/>
        <sz val="10"/>
        <rFont val="Trebuchet MS"/>
        <family val="2"/>
      </rPr>
      <t>Gallons/Inch</t>
    </r>
    <r>
      <rPr>
        <sz val="10"/>
        <rFont val="Trebuchet MS"/>
        <family val="2"/>
      </rPr>
      <t xml:space="preserve"> (Line 2)</t>
    </r>
  </si>
  <si>
    <r>
      <t>Diameter of Supply Pipe</t>
    </r>
    <r>
      <rPr>
        <sz val="10"/>
        <rFont val="Trebuchet MS"/>
        <family val="2"/>
      </rPr>
      <t>=</t>
    </r>
  </si>
  <si>
    <r>
      <t>Volume of Liquid Per Lineal Foot of Pipe</t>
    </r>
    <r>
      <rPr>
        <sz val="10"/>
        <rFont val="Trebuchet MS"/>
        <family val="2"/>
      </rPr>
      <t xml:space="preserve"> =</t>
    </r>
  </si>
  <si>
    <r>
      <t>Drainback</t>
    </r>
    <r>
      <rPr>
        <sz val="10"/>
        <rFont val="Trebuchet MS"/>
        <family val="2"/>
      </rPr>
      <t xml:space="preserve"> = </t>
    </r>
    <r>
      <rPr>
        <i/>
        <sz val="10"/>
        <rFont val="Trebuchet MS"/>
        <family val="2"/>
      </rPr>
      <t>Length of Supply Pipe</t>
    </r>
    <r>
      <rPr>
        <sz val="10"/>
        <rFont val="Trebuchet MS"/>
        <family val="2"/>
      </rPr>
      <t xml:space="preserve"> X </t>
    </r>
    <r>
      <rPr>
        <i/>
        <sz val="10"/>
        <rFont val="Trebuchet MS"/>
        <family val="2"/>
      </rPr>
      <t>Volume of Liquid Per Lineal Foot of Pipe</t>
    </r>
  </si>
  <si>
    <r>
      <t xml:space="preserve">Calculate </t>
    </r>
    <r>
      <rPr>
        <i/>
        <sz val="10"/>
        <rFont val="Trebuchet MS"/>
        <family val="2"/>
      </rPr>
      <t>Float Separation Distance</t>
    </r>
    <r>
      <rPr>
        <sz val="10"/>
        <rFont val="Trebuchet MS"/>
        <family val="2"/>
      </rPr>
      <t xml:space="preserve"> using </t>
    </r>
    <r>
      <rPr>
        <i/>
        <sz val="10"/>
        <rFont val="Trebuchet MS"/>
        <family val="2"/>
      </rPr>
      <t>Dosing Volume</t>
    </r>
    <r>
      <rPr>
        <sz val="10"/>
        <rFont val="Trebuchet MS"/>
        <family val="2"/>
      </rPr>
      <t>.</t>
    </r>
  </si>
  <si>
    <t>feet</t>
  </si>
  <si>
    <t>B.</t>
  </si>
  <si>
    <t>inches</t>
  </si>
  <si>
    <t>F.</t>
  </si>
  <si>
    <t>G.</t>
  </si>
  <si>
    <t>H.</t>
  </si>
  <si>
    <t>gpd ÷</t>
  </si>
  <si>
    <t>Perfs. Per Lateral</t>
  </si>
  <si>
    <t>Gallons/ft</t>
  </si>
  <si>
    <r>
      <t>Circle area = 3.14r</t>
    </r>
    <r>
      <rPr>
        <vertAlign val="superscript"/>
        <sz val="10"/>
        <rFont val="Trebuchet MS"/>
        <family val="2"/>
      </rPr>
      <t>2</t>
    </r>
    <r>
      <rPr>
        <sz val="10"/>
        <rFont val="Trebuchet MS"/>
        <family val="2"/>
      </rPr>
      <t xml:space="preserve"> (3.14 X radius X radius)</t>
    </r>
  </si>
  <si>
    <t>in  +</t>
  </si>
  <si>
    <t>Doses</t>
  </si>
  <si>
    <t>gal +</t>
  </si>
  <si>
    <t xml:space="preserve">gal = </t>
  </si>
  <si>
    <t>Fine Sand</t>
  </si>
  <si>
    <t>Loam</t>
  </si>
  <si>
    <t>Silt Loam</t>
  </si>
  <si>
    <t>Clay Loam</t>
  </si>
  <si>
    <t>Silty Clay Loam</t>
  </si>
  <si>
    <t>Sandy Clay Loam</t>
  </si>
  <si>
    <t>Silty Clay</t>
  </si>
  <si>
    <t>Sandy Clay</t>
  </si>
  <si>
    <t>Clay</t>
  </si>
  <si>
    <t>Coarse Sand</t>
  </si>
  <si>
    <t>Granular</t>
  </si>
  <si>
    <t>Prismatic</t>
  </si>
  <si>
    <t>Massive</t>
  </si>
  <si>
    <t>Weak</t>
  </si>
  <si>
    <t>Moderate</t>
  </si>
  <si>
    <t>Strong</t>
  </si>
  <si>
    <t>Loose</t>
  </si>
  <si>
    <t>Friable</t>
  </si>
  <si>
    <t>Firm</t>
  </si>
  <si>
    <t>Total Number of Perf.</t>
  </si>
  <si>
    <t>Sandy Loam</t>
  </si>
  <si>
    <t>Gallons per inch</t>
  </si>
  <si>
    <t>2 inches)   X</t>
  </si>
  <si>
    <t>Mound</t>
  </si>
  <si>
    <t>At-Grade</t>
  </si>
  <si>
    <t>x</t>
  </si>
  <si>
    <t>ft  +</t>
  </si>
  <si>
    <t>Structureless</t>
  </si>
  <si>
    <t>Yes</t>
  </si>
  <si>
    <t>No</t>
  </si>
  <si>
    <t>÷</t>
  </si>
  <si>
    <t>feet of total head.</t>
  </si>
  <si>
    <t>Distribution Head Loss:</t>
  </si>
  <si>
    <t>Elevation Difference</t>
  </si>
  <si>
    <t>ft per 100ft of pipe</t>
  </si>
  <si>
    <t>Friction Loss =</t>
  </si>
  <si>
    <t>Supply Friction Loss =</t>
  </si>
  <si>
    <t>Additional Head Loss:</t>
  </si>
  <si>
    <t>coarse sandy loam</t>
  </si>
  <si>
    <t>coarse sand</t>
  </si>
  <si>
    <t>coarse loamy sand</t>
  </si>
  <si>
    <t>Toe Slope</t>
  </si>
  <si>
    <t>very fine sandy loam</t>
  </si>
  <si>
    <t>1/16</t>
  </si>
  <si>
    <t>Rock</t>
  </si>
  <si>
    <t>laterals</t>
  </si>
  <si>
    <t>Gal</t>
  </si>
  <si>
    <t>Slope</t>
  </si>
  <si>
    <t>Tank Size</t>
  </si>
  <si>
    <t>SHLR</t>
  </si>
  <si>
    <t>DepthPipe</t>
  </si>
  <si>
    <t>SizeMult</t>
  </si>
  <si>
    <t>MediaLoadRate</t>
  </si>
  <si>
    <t>DispersalMedia</t>
  </si>
  <si>
    <t>AtGradeUp</t>
  </si>
  <si>
    <t>PipeDia</t>
  </si>
  <si>
    <t>VolumePipe</t>
  </si>
  <si>
    <t>Laterals</t>
  </si>
  <si>
    <t>PerfSpace</t>
  </si>
  <si>
    <t>PerfDia</t>
  </si>
  <si>
    <t>DistType</t>
  </si>
  <si>
    <t>MinHead</t>
  </si>
  <si>
    <t>DistHeadLoss</t>
  </si>
  <si>
    <t>DepthAlarm</t>
  </si>
  <si>
    <t>DistMedia</t>
  </si>
  <si>
    <t>Bedrooms</t>
  </si>
  <si>
    <t>FlowClass</t>
  </si>
  <si>
    <t>Reduction</t>
  </si>
  <si>
    <t>EfflScreen</t>
  </si>
  <si>
    <t>STA</t>
  </si>
  <si>
    <t>EndCenter</t>
  </si>
  <si>
    <t>SoilTexture7080</t>
  </si>
  <si>
    <t>SlopeShape</t>
  </si>
  <si>
    <t>LandscapePosition</t>
  </si>
  <si>
    <t>SoilTextureOSTP</t>
  </si>
  <si>
    <t>StructureShape</t>
  </si>
  <si>
    <t>RedoxKind</t>
  </si>
  <si>
    <t>StructureGrade</t>
  </si>
  <si>
    <t>StructureConsistence</t>
  </si>
  <si>
    <t>RedoxIndicators</t>
  </si>
  <si>
    <t>OtherEstabType</t>
  </si>
  <si>
    <t>OtherEstabUnit</t>
  </si>
  <si>
    <t>CLR</t>
  </si>
  <si>
    <t>YN</t>
  </si>
  <si>
    <t>MoundAbsorptionRatio</t>
  </si>
  <si>
    <r>
      <t xml:space="preserve">Design Flow </t>
    </r>
    <r>
      <rPr>
        <i/>
        <sz val="9"/>
        <rFont val="Trebuchet MS"/>
        <family val="2"/>
      </rPr>
      <t>(Design Sum.1A)</t>
    </r>
    <r>
      <rPr>
        <sz val="8"/>
        <rFont val="Trebuchet MS"/>
        <family val="2"/>
      </rPr>
      <t>:</t>
    </r>
  </si>
  <si>
    <t>bedrock</t>
  </si>
  <si>
    <t>Concentrations, depletions</t>
  </si>
  <si>
    <t>MediaDepth</t>
  </si>
  <si>
    <t>Optional</t>
  </si>
  <si>
    <t>YN-Optional</t>
  </si>
  <si>
    <t xml:space="preserve">     </t>
  </si>
  <si>
    <t>gals   X     4    =</t>
  </si>
  <si>
    <t>campsite without sewer hook-up, with central toilet or shower facility, served by dump station (per site)</t>
  </si>
  <si>
    <t>campsite without sewer hook-up, with central toilet or shower facility (per site)</t>
  </si>
  <si>
    <t>campsite with sewer hook-up (per site/space)</t>
  </si>
  <si>
    <t>campsite with sewer hook-up (per person)</t>
  </si>
  <si>
    <t>Loamy Sand</t>
  </si>
  <si>
    <t>Loamy Coarse Sand</t>
  </si>
  <si>
    <t>Very Fine Sand</t>
  </si>
  <si>
    <t>Loamy Fine Sand</t>
  </si>
  <si>
    <t>Loamy Very Fine Sand</t>
  </si>
  <si>
    <t>Silt</t>
  </si>
  <si>
    <t xml:space="preserve">1.  </t>
  </si>
  <si>
    <t>PUMP CAPACITY</t>
  </si>
  <si>
    <t>35-50%</t>
  </si>
  <si>
    <t>&gt;50%</t>
  </si>
  <si>
    <t>Probe</t>
  </si>
  <si>
    <t>Auger</t>
  </si>
  <si>
    <t xml:space="preserve">ObservationType </t>
  </si>
  <si>
    <t xml:space="preserve">ft  = </t>
  </si>
  <si>
    <t>(10 - 45 gpm)</t>
  </si>
  <si>
    <t>If pumping to gravity enter the gallon per minute of the pump:</t>
  </si>
  <si>
    <t>1. Tank Specifications</t>
  </si>
  <si>
    <t>Tank Manufacturer:</t>
  </si>
  <si>
    <t>Tank Model:</t>
  </si>
  <si>
    <t>Outside Tank Dimensions and Specifications:</t>
  </si>
  <si>
    <t>Length:</t>
  </si>
  <si>
    <t>Width:</t>
  </si>
  <si>
    <t>Height:</t>
  </si>
  <si>
    <t xml:space="preserve"> Diameter:</t>
  </si>
  <si>
    <t>Radius of Tank:</t>
  </si>
  <si>
    <t>2. Outside Volume of Tank</t>
  </si>
  <si>
    <t>Rectangular Tank</t>
  </si>
  <si>
    <t>Circular Tank</t>
  </si>
  <si>
    <t>Area of Tank = Length (ft) X Width (ft)</t>
  </si>
  <si>
    <r>
      <t xml:space="preserve">Area of Tank = </t>
    </r>
    <r>
      <rPr>
        <sz val="12"/>
        <color indexed="8"/>
        <rFont val="Calibri"/>
        <family val="2"/>
      </rPr>
      <t>πr</t>
    </r>
    <r>
      <rPr>
        <vertAlign val="superscript"/>
        <sz val="12"/>
        <color indexed="8"/>
        <rFont val="Calibri"/>
        <family val="2"/>
      </rPr>
      <t>2</t>
    </r>
    <r>
      <rPr>
        <sz val="12"/>
        <color indexed="8"/>
        <rFont val="Calibri"/>
        <family val="2"/>
      </rPr>
      <t xml:space="preserve"> (</t>
    </r>
    <r>
      <rPr>
        <sz val="12"/>
        <color indexed="8"/>
        <rFont val="Trebuchet MS"/>
        <family val="2"/>
      </rPr>
      <t>3.14 X (Radius of Tank)</t>
    </r>
    <r>
      <rPr>
        <vertAlign val="superscript"/>
        <sz val="12"/>
        <color indexed="8"/>
        <rFont val="Trebuchet MS"/>
        <family val="2"/>
      </rPr>
      <t>2)</t>
    </r>
  </si>
  <si>
    <r>
      <t>ft</t>
    </r>
    <r>
      <rPr>
        <vertAlign val="superscript"/>
        <sz val="12"/>
        <color indexed="8"/>
        <rFont val="Trebuchet MS"/>
        <family val="2"/>
      </rPr>
      <t>2</t>
    </r>
  </si>
  <si>
    <t xml:space="preserve"> 3.14  X</t>
  </si>
  <si>
    <r>
      <t>ft</t>
    </r>
    <r>
      <rPr>
        <vertAlign val="superscript"/>
        <sz val="12"/>
        <color indexed="8"/>
        <rFont val="Trebuchet MS"/>
        <family val="2"/>
      </rPr>
      <t>2</t>
    </r>
    <r>
      <rPr>
        <sz val="12"/>
        <color indexed="8"/>
        <rFont val="Trebuchet MS"/>
        <family val="2"/>
      </rPr>
      <t xml:space="preserve">  =</t>
    </r>
  </si>
  <si>
    <t>Volume of Tank = Area of Tank (2.A) X Height (ft)</t>
  </si>
  <si>
    <t>Volume of Tank = Area of Tank X Height (ft)</t>
  </si>
  <si>
    <r>
      <t>ft</t>
    </r>
    <r>
      <rPr>
        <vertAlign val="superscript"/>
        <sz val="12"/>
        <color indexed="8"/>
        <rFont val="Trebuchet MS"/>
        <family val="2"/>
      </rPr>
      <t>3</t>
    </r>
  </si>
  <si>
    <r>
      <t>ft</t>
    </r>
    <r>
      <rPr>
        <vertAlign val="superscript"/>
        <sz val="12"/>
        <color indexed="8"/>
        <rFont val="Trebuchet MS"/>
        <family val="2"/>
      </rPr>
      <t>2</t>
    </r>
    <r>
      <rPr>
        <sz val="12"/>
        <color indexed="8"/>
        <rFont val="Trebuchet MS"/>
        <family val="2"/>
      </rPr>
      <t xml:space="preserve">  X</t>
    </r>
  </si>
  <si>
    <r>
      <t>3. Force of Tank Weight (F</t>
    </r>
    <r>
      <rPr>
        <b/>
        <vertAlign val="subscript"/>
        <sz val="12"/>
        <color indexed="8"/>
        <rFont val="Trebuchet MS"/>
        <family val="2"/>
      </rPr>
      <t>TW</t>
    </r>
    <r>
      <rPr>
        <b/>
        <sz val="12"/>
        <color indexed="8"/>
        <rFont val="Trebuchet MS"/>
        <family val="2"/>
      </rPr>
      <t>)</t>
    </r>
  </si>
  <si>
    <r>
      <t>lbs/ft</t>
    </r>
    <r>
      <rPr>
        <vertAlign val="superscript"/>
        <sz val="12"/>
        <color indexed="8"/>
        <rFont val="Trebuchet MS"/>
        <family val="2"/>
      </rPr>
      <t>3</t>
    </r>
  </si>
  <si>
    <r>
      <t>4. Force of Soil Weight Over Tank (F</t>
    </r>
    <r>
      <rPr>
        <b/>
        <vertAlign val="subscript"/>
        <sz val="12"/>
        <color indexed="8"/>
        <rFont val="Trebuchet MS"/>
        <family val="2"/>
      </rPr>
      <t>SW</t>
    </r>
    <r>
      <rPr>
        <b/>
        <sz val="12"/>
        <color indexed="8"/>
        <rFont val="Trebuchet MS"/>
        <family val="2"/>
      </rPr>
      <t>)</t>
    </r>
  </si>
  <si>
    <t>Soil Type</t>
  </si>
  <si>
    <r>
      <t>Weight of Soil (lbs/ft</t>
    </r>
    <r>
      <rPr>
        <b/>
        <vertAlign val="superscript"/>
        <sz val="12"/>
        <color indexed="8"/>
        <rFont val="Trebuchet MS"/>
        <family val="2"/>
      </rPr>
      <t>3</t>
    </r>
    <r>
      <rPr>
        <b/>
        <sz val="12"/>
        <color indexed="8"/>
        <rFont val="Trebuchet MS"/>
        <family val="2"/>
      </rPr>
      <t>)</t>
    </r>
  </si>
  <si>
    <t>Depth of Cover Over Tank:</t>
  </si>
  <si>
    <t>Weight of Soil Per Cubic Foot:</t>
  </si>
  <si>
    <t>Sandy</t>
  </si>
  <si>
    <r>
      <t>Volume of Soil Over Tank = Depth of Cover (ft) X Area of  Tank (ft</t>
    </r>
    <r>
      <rPr>
        <vertAlign val="superscript"/>
        <sz val="12"/>
        <color indexed="8"/>
        <rFont val="Trebuchet MS"/>
        <family val="2"/>
      </rPr>
      <t>2</t>
    </r>
    <r>
      <rPr>
        <sz val="12"/>
        <color indexed="8"/>
        <rFont val="Trebuchet MS"/>
        <family val="2"/>
      </rPr>
      <t>)</t>
    </r>
  </si>
  <si>
    <t>Loamy</t>
  </si>
  <si>
    <r>
      <t>ft</t>
    </r>
    <r>
      <rPr>
        <vertAlign val="superscript"/>
        <sz val="12"/>
        <color indexed="8"/>
        <rFont val="Trebuchet MS"/>
        <family val="2"/>
      </rPr>
      <t>2</t>
    </r>
    <r>
      <rPr>
        <sz val="12"/>
        <color indexed="8"/>
        <rFont val="Trebuchet MS"/>
        <family val="2"/>
      </rPr>
      <t xml:space="preserve">   =</t>
    </r>
  </si>
  <si>
    <t>lbs</t>
  </si>
  <si>
    <r>
      <t>5.Buoyant Force (F</t>
    </r>
    <r>
      <rPr>
        <b/>
        <vertAlign val="subscript"/>
        <sz val="12"/>
        <color indexed="8"/>
        <rFont val="Trebuchet MS"/>
        <family val="2"/>
      </rPr>
      <t>B</t>
    </r>
    <r>
      <rPr>
        <b/>
        <sz val="12"/>
        <color indexed="8"/>
        <rFont val="Trebuchet MS"/>
        <family val="2"/>
      </rPr>
      <t>)</t>
    </r>
  </si>
  <si>
    <r>
      <t>X   62.4 lbs/ft</t>
    </r>
    <r>
      <rPr>
        <vertAlign val="superscript"/>
        <sz val="12"/>
        <color indexed="8"/>
        <rFont val="Trebuchet MS"/>
        <family val="2"/>
      </rPr>
      <t>3</t>
    </r>
    <r>
      <rPr>
        <sz val="12"/>
        <color indexed="8"/>
        <rFont val="Trebuchet MS"/>
        <family val="2"/>
      </rPr>
      <t xml:space="preserve">  X  1.2   =</t>
    </r>
  </si>
  <si>
    <t>6. Evaluation of Net Forces</t>
  </si>
  <si>
    <r>
      <t>Downward Force = Force of Tank Weight (F</t>
    </r>
    <r>
      <rPr>
        <vertAlign val="subscript"/>
        <sz val="12"/>
        <color indexed="8"/>
        <rFont val="Trebuchet MS"/>
        <family val="2"/>
      </rPr>
      <t>TW</t>
    </r>
    <r>
      <rPr>
        <sz val="12"/>
        <color indexed="8"/>
        <rFont val="Trebuchet MS"/>
        <family val="2"/>
      </rPr>
      <t>) +  Force of Soil Weight of Soil (F</t>
    </r>
    <r>
      <rPr>
        <vertAlign val="subscript"/>
        <sz val="12"/>
        <color indexed="8"/>
        <rFont val="Trebuchet MS"/>
        <family val="2"/>
      </rPr>
      <t>SW</t>
    </r>
    <r>
      <rPr>
        <sz val="12"/>
        <color indexed="8"/>
        <rFont val="Trebuchet MS"/>
        <family val="2"/>
      </rPr>
      <t>)</t>
    </r>
  </si>
  <si>
    <t xml:space="preserve"> lbs   +</t>
  </si>
  <si>
    <t>lbs    =</t>
  </si>
  <si>
    <t xml:space="preserve">Net Difference = Downward Force - Buoyant Force Including Safety Factor </t>
  </si>
  <si>
    <t>lbs   -</t>
  </si>
  <si>
    <t>If the Net Difference is negative, countermeasures will need to be taken to prevent the tank from floating out of the ground.</t>
  </si>
  <si>
    <t>Comments/Solution:</t>
  </si>
  <si>
    <t>Weight of Tank (provided by manufacturer)</t>
  </si>
  <si>
    <t>1. Supply Pipe Diameter:</t>
  </si>
  <si>
    <t>2. Supply Pipe Length:</t>
  </si>
  <si>
    <r>
      <rPr>
        <b/>
        <sz val="10"/>
        <rFont val="Trebuchet MS"/>
        <family val="2"/>
      </rPr>
      <t>Friction Loss in Plastic Pipe per 100ft</t>
    </r>
    <r>
      <rPr>
        <sz val="10"/>
        <rFont val="Trebuchet MS"/>
        <family val="2"/>
      </rPr>
      <t xml:space="preserve"> from Table I:</t>
    </r>
  </si>
  <si>
    <t>Bedrock</t>
  </si>
  <si>
    <t xml:space="preserve">Project ID:  </t>
  </si>
  <si>
    <r>
      <t>Length of Laterals</t>
    </r>
    <r>
      <rPr>
        <sz val="10"/>
        <rFont val="Trebuchet MS"/>
        <family val="2"/>
      </rPr>
      <t xml:space="preserve"> = Media Bed Length - 2 Feet.   </t>
    </r>
  </si>
  <si>
    <t>Perforation can not be closer then 1 foot from edge.</t>
  </si>
  <si>
    <t xml:space="preserve">a. </t>
  </si>
  <si>
    <t>Media Bed Width:</t>
  </si>
  <si>
    <r>
      <t xml:space="preserve">Select </t>
    </r>
    <r>
      <rPr>
        <i/>
        <sz val="10"/>
        <rFont val="Trebuchet MS"/>
        <family val="2"/>
      </rPr>
      <t>Perforation Diameter Size:</t>
    </r>
  </si>
  <si>
    <r>
      <t xml:space="preserve">Designer Selected </t>
    </r>
    <r>
      <rPr>
        <i/>
        <sz val="10"/>
        <rFont val="Trebuchet MS"/>
        <family val="2"/>
      </rPr>
      <t>Number of  Laterals</t>
    </r>
    <r>
      <rPr>
        <sz val="10"/>
        <rFont val="Trebuchet MS"/>
        <family val="2"/>
      </rPr>
      <t>:</t>
    </r>
  </si>
  <si>
    <t>DETERMINE TANK CAPACITY AND DIMENSIONS</t>
  </si>
  <si>
    <t>DETERMINE DOSING VOLUME</t>
  </si>
  <si>
    <t xml:space="preserve">Minimum Alarm Volume = Depth of alarm (2 or 3 inches) X gallons per inch of tank </t>
  </si>
  <si>
    <t>Gallons per inch from manufacturer:</t>
  </si>
  <si>
    <t>Liquid depth of tank from manufacturer:</t>
  </si>
  <si>
    <t xml:space="preserve">Total Dosing Volume /Gallons Per Inch </t>
  </si>
  <si>
    <t xml:space="preserve">Distance to set Pump On Float=Distance to Set Pump-Off Float  + Float Separation Distance </t>
  </si>
  <si>
    <r>
      <t>Distance to set Alarm Float</t>
    </r>
    <r>
      <rPr>
        <sz val="10"/>
        <rFont val="Trebuchet MS"/>
        <family val="2"/>
      </rPr>
      <t xml:space="preserve"> = </t>
    </r>
    <r>
      <rPr>
        <i/>
        <sz val="10"/>
        <rFont val="Trebuchet MS"/>
        <family val="2"/>
      </rPr>
      <t>Distance to set Pump-On Float</t>
    </r>
    <r>
      <rPr>
        <sz val="10"/>
        <rFont val="Trebuchet MS"/>
        <family val="2"/>
      </rPr>
      <t xml:space="preserve">  + </t>
    </r>
    <r>
      <rPr>
        <i/>
        <sz val="10"/>
        <rFont val="Trebuchet MS"/>
        <family val="2"/>
      </rPr>
      <t>Alarm Depth</t>
    </r>
    <r>
      <rPr>
        <sz val="10"/>
        <rFont val="Trebuchet MS"/>
        <family val="2"/>
      </rPr>
      <t xml:space="preserve"> (2-3 inches)</t>
    </r>
  </si>
  <si>
    <r>
      <t>Volume of Liquid Per Foot of Distribution Piping (Table II)</t>
    </r>
    <r>
      <rPr>
        <sz val="10"/>
        <rFont val="Trebuchet MS"/>
        <family val="2"/>
      </rPr>
      <t>:</t>
    </r>
  </si>
  <si>
    <t>Perfs     X</t>
  </si>
  <si>
    <t>GPM per Perforation =</t>
  </si>
  <si>
    <t>Coarse Sandy Loam</t>
  </si>
  <si>
    <t>Fine Sandy Loam</t>
  </si>
  <si>
    <t>Very Fine Sandy Loam</t>
  </si>
  <si>
    <r>
      <t>Select Lateral Diameter (See Table)</t>
    </r>
    <r>
      <rPr>
        <sz val="10"/>
        <rFont val="Trebuchet MS"/>
        <family val="2"/>
      </rPr>
      <t>:</t>
    </r>
  </si>
  <si>
    <t>Recommended</t>
  </si>
  <si>
    <t>&lt;35%</t>
  </si>
  <si>
    <t>MEASURED TANK CAPACITY (existing tanks):</t>
  </si>
  <si>
    <t>Capacity from manufacturer:</t>
  </si>
  <si>
    <t>Note: Design calculations are based on this specific tank. Substituting a different tank model will change the pump float or timer settings. Contact designer if changes are necessary.</t>
  </si>
  <si>
    <t>Registered Product:</t>
  </si>
  <si>
    <t>CoarseFragments</t>
  </si>
  <si>
    <t>Fill Soil</t>
  </si>
  <si>
    <t>Hue</t>
  </si>
  <si>
    <t>ValueChroma</t>
  </si>
  <si>
    <t>10R</t>
  </si>
  <si>
    <t>2.5YR</t>
  </si>
  <si>
    <t>5YR</t>
  </si>
  <si>
    <t>7.5YR</t>
  </si>
  <si>
    <t>10YR</t>
  </si>
  <si>
    <t>5Y</t>
  </si>
  <si>
    <t>2/1</t>
  </si>
  <si>
    <t>2/2</t>
  </si>
  <si>
    <t>2.5/1</t>
  </si>
  <si>
    <t>2.5/2</t>
  </si>
  <si>
    <t>2.5/3</t>
  </si>
  <si>
    <t>3/1</t>
  </si>
  <si>
    <t>3/2</t>
  </si>
  <si>
    <t>3/3</t>
  </si>
  <si>
    <t>3/4</t>
  </si>
  <si>
    <t>3/6</t>
  </si>
  <si>
    <t>4/1</t>
  </si>
  <si>
    <t>4/2</t>
  </si>
  <si>
    <t>4/3</t>
  </si>
  <si>
    <t>4/4</t>
  </si>
  <si>
    <t>4/6</t>
  </si>
  <si>
    <t>4/8</t>
  </si>
  <si>
    <t>5/1</t>
  </si>
  <si>
    <t>5/2</t>
  </si>
  <si>
    <t>5/3</t>
  </si>
  <si>
    <t>5/4</t>
  </si>
  <si>
    <t>5/6</t>
  </si>
  <si>
    <t>5/8</t>
  </si>
  <si>
    <t>6/1</t>
  </si>
  <si>
    <t>6/2</t>
  </si>
  <si>
    <t>6/3</t>
  </si>
  <si>
    <t>6/4</t>
  </si>
  <si>
    <t>6/6</t>
  </si>
  <si>
    <t>6/8</t>
  </si>
  <si>
    <t>7/1</t>
  </si>
  <si>
    <t>7/2</t>
  </si>
  <si>
    <t>7/3</t>
  </si>
  <si>
    <t>7/4</t>
  </si>
  <si>
    <t>7/6</t>
  </si>
  <si>
    <t>7/8</t>
  </si>
  <si>
    <t>8/1</t>
  </si>
  <si>
    <t>8/2</t>
  </si>
  <si>
    <t>8/3</t>
  </si>
  <si>
    <t>8/4</t>
  </si>
  <si>
    <t>8/6</t>
  </si>
  <si>
    <t>8/8</t>
  </si>
  <si>
    <t>GLEY</t>
  </si>
  <si>
    <t>2.5/0</t>
  </si>
  <si>
    <t>N</t>
  </si>
  <si>
    <t>Camp, day and night with meals</t>
  </si>
  <si>
    <t xml:space="preserve">Inches for Dose:  </t>
  </si>
  <si>
    <t>PumpType</t>
  </si>
  <si>
    <t>Equalization/Time Dosing</t>
  </si>
  <si>
    <r>
      <t xml:space="preserve">ft </t>
    </r>
    <r>
      <rPr>
        <sz val="8"/>
        <rFont val="Trebuchet MS"/>
        <family val="2"/>
      </rPr>
      <t>(due to special equipment, etc.)</t>
    </r>
  </si>
  <si>
    <t>PumpTankType</t>
  </si>
  <si>
    <t>organic</t>
  </si>
  <si>
    <t>Organic</t>
  </si>
  <si>
    <r>
      <t>lbs/ft</t>
    </r>
    <r>
      <rPr>
        <vertAlign val="superscript"/>
        <sz val="12"/>
        <color indexed="8"/>
        <rFont val="Trebuchet MS"/>
        <family val="2"/>
      </rPr>
      <t xml:space="preserve">3  </t>
    </r>
    <r>
      <rPr>
        <sz val="12"/>
        <color indexed="8"/>
        <rFont val="Trebuchet MS"/>
        <family val="2"/>
      </rPr>
      <t>=</t>
    </r>
  </si>
  <si>
    <r>
      <t xml:space="preserve">Determine the </t>
    </r>
    <r>
      <rPr>
        <i/>
        <sz val="10"/>
        <rFont val="Trebuchet MS"/>
        <family val="2"/>
      </rPr>
      <t>Number of Perforation Spaces</t>
    </r>
    <r>
      <rPr>
        <sz val="10"/>
        <rFont val="Trebuchet MS"/>
        <family val="2"/>
      </rPr>
      <t xml:space="preserve">.  Divide the </t>
    </r>
    <r>
      <rPr>
        <i/>
        <sz val="10"/>
        <rFont val="Trebuchet MS"/>
        <family val="2"/>
      </rPr>
      <t>Length of Laterals</t>
    </r>
    <r>
      <rPr>
        <sz val="10"/>
        <rFont val="Trebuchet MS"/>
        <family val="2"/>
      </rPr>
      <t xml:space="preserve"> by  the </t>
    </r>
    <r>
      <rPr>
        <i/>
        <sz val="10"/>
        <rFont val="Trebuchet MS"/>
        <family val="2"/>
      </rPr>
      <t>Perforation Spacing</t>
    </r>
    <r>
      <rPr>
        <sz val="10"/>
        <rFont val="Trebuchet MS"/>
        <family val="2"/>
      </rPr>
      <t xml:space="preserve"> and round down to the nearest whole number.</t>
    </r>
  </si>
  <si>
    <t>Spaces    +   1 =</t>
  </si>
  <si>
    <r>
      <t>Total Number of Perforations</t>
    </r>
    <r>
      <rPr>
        <sz val="10"/>
        <rFont val="Trebuchet MS"/>
        <family val="2"/>
      </rPr>
      <t xml:space="preserve"> equals the </t>
    </r>
    <r>
      <rPr>
        <i/>
        <sz val="10"/>
        <rFont val="Trebuchet MS"/>
        <family val="2"/>
      </rPr>
      <t>Number of Perforations per Lateral</t>
    </r>
    <r>
      <rPr>
        <sz val="10"/>
        <rFont val="Trebuchet MS"/>
        <family val="2"/>
      </rPr>
      <t xml:space="preserve"> multiplied by the </t>
    </r>
    <r>
      <rPr>
        <i/>
        <sz val="10"/>
        <rFont val="Trebuchet MS"/>
        <family val="2"/>
      </rPr>
      <t>Number of Perforated Laterals.</t>
    </r>
  </si>
  <si>
    <r>
      <t>Number of Perforations per Lateral</t>
    </r>
    <r>
      <rPr>
        <sz val="10"/>
        <rFont val="Trebuchet MS"/>
        <family val="2"/>
      </rPr>
      <t xml:space="preserve"> is equal to 1.0 plus the </t>
    </r>
    <r>
      <rPr>
        <i/>
        <sz val="10"/>
        <rFont val="Trebuchet MS"/>
        <family val="2"/>
      </rPr>
      <t>Number of Perforation Spaces</t>
    </r>
    <r>
      <rPr>
        <sz val="10"/>
        <rFont val="Trebuchet MS"/>
        <family val="2"/>
      </rPr>
      <t xml:space="preserve">.  Check table below to verify the number of perforations per lateral guarantees less than a 10% discharge variation.  The value is double with a center manifold.  </t>
    </r>
  </si>
  <si>
    <t>Perf. Per Lat.   X</t>
  </si>
  <si>
    <t>Number of Perf. Lat. =</t>
  </si>
  <si>
    <r>
      <t>= [</t>
    </r>
    <r>
      <rPr>
        <i/>
        <sz val="10"/>
        <rFont val="Trebuchet MS"/>
        <family val="2"/>
      </rPr>
      <t>Number of Perforated Laterals</t>
    </r>
    <r>
      <rPr>
        <sz val="10"/>
        <rFont val="Trebuchet MS"/>
        <family val="2"/>
      </rPr>
      <t xml:space="preserve"> X </t>
    </r>
    <r>
      <rPr>
        <i/>
        <sz val="10"/>
        <rFont val="Trebuchet MS"/>
        <family val="2"/>
      </rPr>
      <t>Length of Laterals</t>
    </r>
    <r>
      <rPr>
        <sz val="10"/>
        <rFont val="Trebuchet MS"/>
        <family val="2"/>
      </rPr>
      <t xml:space="preserve">  X (Volume of Liquid Per Foot of Distribution Piping] </t>
    </r>
  </si>
  <si>
    <t>gal/ft       =</t>
  </si>
  <si>
    <t>Minimum Delivered Volume = Volume of Distribution Piping  X 4</t>
  </si>
  <si>
    <r>
      <t xml:space="preserve">Calculate </t>
    </r>
    <r>
      <rPr>
        <i/>
        <sz val="10"/>
        <rFont val="Trebuchet MS"/>
        <family val="2"/>
      </rPr>
      <t>Doses Per Day</t>
    </r>
    <r>
      <rPr>
        <sz val="10"/>
        <rFont val="Trebuchet MS"/>
        <family val="2"/>
      </rPr>
      <t xml:space="preserve"> = Design Flow </t>
    </r>
    <r>
      <rPr>
        <sz val="12"/>
        <rFont val="Trebuchet MS"/>
        <family val="2"/>
      </rPr>
      <t>÷</t>
    </r>
    <r>
      <rPr>
        <sz val="10"/>
        <rFont val="Trebuchet MS"/>
        <family val="2"/>
      </rPr>
      <t xml:space="preserve"> </t>
    </r>
    <r>
      <rPr>
        <i/>
        <sz val="10"/>
        <rFont val="Trebuchet MS"/>
        <family val="2"/>
      </rPr>
      <t>Delivered Volume</t>
    </r>
  </si>
  <si>
    <r>
      <t>Total Dosing Volume</t>
    </r>
    <r>
      <rPr>
        <sz val="10"/>
        <rFont val="Trebuchet MS"/>
        <family val="2"/>
      </rPr>
      <t xml:space="preserve"> = </t>
    </r>
    <r>
      <rPr>
        <i/>
        <sz val="10"/>
        <rFont val="Trebuchet MS"/>
        <family val="2"/>
      </rPr>
      <t>Delivered Volume</t>
    </r>
    <r>
      <rPr>
        <sz val="10"/>
        <rFont val="Trebuchet MS"/>
        <family val="2"/>
      </rPr>
      <t xml:space="preserve">  plus </t>
    </r>
    <r>
      <rPr>
        <i/>
        <sz val="10"/>
        <rFont val="Trebuchet MS"/>
        <family val="2"/>
      </rPr>
      <t>Drainback</t>
    </r>
    <r>
      <rPr>
        <sz val="10"/>
        <rFont val="Trebuchet MS"/>
        <family val="2"/>
      </rPr>
      <t xml:space="preserve"> </t>
    </r>
  </si>
  <si>
    <r>
      <t xml:space="preserve">Distance to set Pump Off Float </t>
    </r>
    <r>
      <rPr>
        <sz val="10"/>
        <rFont val="Trebuchet MS"/>
        <family val="2"/>
      </rPr>
      <t>= Pump + block height + 2 inches</t>
    </r>
  </si>
  <si>
    <t>5 feet of separation</t>
  </si>
  <si>
    <t>Serial distribution in 15% sections</t>
  </si>
  <si>
    <t>SandySoilOptions</t>
  </si>
  <si>
    <t>Pressure distribution</t>
  </si>
  <si>
    <t>Min. required pump tank capacity:</t>
  </si>
  <si>
    <r>
      <t>7.5  gal/ft</t>
    </r>
    <r>
      <rPr>
        <vertAlign val="superscript"/>
        <sz val="10"/>
        <rFont val="Trebuchet MS"/>
        <family val="2"/>
      </rPr>
      <t>3</t>
    </r>
    <r>
      <rPr>
        <sz val="10"/>
        <rFont val="Trebuchet MS"/>
        <family val="2"/>
      </rPr>
      <t xml:space="preserve">  ÷ 12 in/ft</t>
    </r>
  </si>
  <si>
    <t>Calculate Gallons Per Inch.  Multiply the area from 1.A or 1.B,  by 7.5 to determine the gallons per foot the tank holds and divide by 12 to calculate the gallons per inch.</t>
  </si>
  <si>
    <t xml:space="preserve">Gallons Per Inch = </t>
  </si>
  <si>
    <t>gal  =</t>
  </si>
  <si>
    <t>gal/ft    =</t>
  </si>
  <si>
    <t xml:space="preserve">gal/in   = </t>
  </si>
  <si>
    <t>Select a pumpout volume that meets both Minimum and Maximum:</t>
  </si>
  <si>
    <t>gal   ÷</t>
  </si>
  <si>
    <t>Does not apply to at-grades</t>
  </si>
  <si>
    <t>PumpTankDesc</t>
  </si>
  <si>
    <t>Time to Pressure</t>
  </si>
  <si>
    <t>Time to Gravity</t>
  </si>
  <si>
    <t>Demand to Pressure</t>
  </si>
  <si>
    <t>Demand to Gravity</t>
  </si>
  <si>
    <t>Equalization</t>
  </si>
  <si>
    <t xml:space="preserve">Time to Treatment </t>
  </si>
  <si>
    <t>Time Dosing Soil Treatment</t>
  </si>
  <si>
    <t>Time Dosing Treatment Unit</t>
  </si>
  <si>
    <t xml:space="preserve">Demand Dosing </t>
  </si>
  <si>
    <t>Demand Dosing Soil Treatment</t>
  </si>
  <si>
    <t>Demand Dosing Treatment Unit</t>
  </si>
  <si>
    <t>2.5Y</t>
  </si>
  <si>
    <t>None</t>
  </si>
  <si>
    <t>Minimum Number of Laterals in system/zone = Rounded up number of [(Media Bed Width - 4) ÷ 3] + 1.</t>
  </si>
  <si>
    <r>
      <t>Buoyant Force (F</t>
    </r>
    <r>
      <rPr>
        <vertAlign val="subscript"/>
        <sz val="12"/>
        <color indexed="8"/>
        <rFont val="Trebuchet MS"/>
        <family val="2"/>
      </rPr>
      <t>B</t>
    </r>
    <r>
      <rPr>
        <sz val="12"/>
        <color indexed="8"/>
        <rFont val="Trebuchet MS"/>
        <family val="2"/>
      </rPr>
      <t>) = Outside Volume of Tank X Weight of Water Per Cubic Foot (62.4 lbs/ft</t>
    </r>
    <r>
      <rPr>
        <vertAlign val="superscript"/>
        <sz val="12"/>
        <color indexed="8"/>
        <rFont val="Trebuchet MS"/>
        <family val="2"/>
      </rPr>
      <t>3</t>
    </r>
    <r>
      <rPr>
        <sz val="12"/>
        <color indexed="8"/>
        <rFont val="Trebuchet MS"/>
        <family val="2"/>
      </rPr>
      <t>) X 1.2 (Safety Fctr)</t>
    </r>
  </si>
  <si>
    <t>Weight of Soil Over Tank = Volume of Soil Over Tank X Weight of Soil Per Cubic Foot</t>
  </si>
  <si>
    <t>Note: Assumes saturation does not get over the lid of the tank</t>
  </si>
  <si>
    <t>0</t>
  </si>
  <si>
    <t>[(</t>
  </si>
  <si>
    <t xml:space="preserve">- 4 ) ÷ 3] + 1 = </t>
  </si>
  <si>
    <t>Treatment Level</t>
  </si>
  <si>
    <t>C</t>
  </si>
  <si>
    <t>B</t>
  </si>
  <si>
    <t>B2</t>
  </si>
  <si>
    <t>A</t>
  </si>
  <si>
    <t>A2</t>
  </si>
  <si>
    <t>Type of Wastewater</t>
  </si>
  <si>
    <t>Residential</t>
  </si>
  <si>
    <t>High-Strength</t>
  </si>
  <si>
    <t>Soil Treatment Area Type</t>
  </si>
  <si>
    <t>Trench</t>
  </si>
  <si>
    <t>Bed</t>
  </si>
  <si>
    <t>Drip</t>
  </si>
  <si>
    <t>Distribution Type</t>
  </si>
  <si>
    <t>Pressure Distribution-Level</t>
  </si>
  <si>
    <t>Pressure Distribution-Unlevel</t>
  </si>
  <si>
    <t>Gravity or Pressure</t>
  </si>
  <si>
    <t>Gravity</t>
  </si>
  <si>
    <t>Pressure</t>
  </si>
  <si>
    <t>DEMAND DOSE FLOAT SETTINGS</t>
  </si>
  <si>
    <t>Nitrogen</t>
  </si>
  <si>
    <t>Phosphorus</t>
  </si>
  <si>
    <t>Nitrogen &amp; Phosphorus</t>
  </si>
  <si>
    <t>Nutrients</t>
  </si>
  <si>
    <t>A-2</t>
  </si>
  <si>
    <t>B-2</t>
  </si>
  <si>
    <t>Type I</t>
  </si>
  <si>
    <t>Type II</t>
  </si>
  <si>
    <t>Type III</t>
  </si>
  <si>
    <t>Type IV</t>
  </si>
  <si>
    <t>Type V</t>
  </si>
  <si>
    <t>MPCA Type</t>
  </si>
  <si>
    <t>Version</t>
  </si>
  <si>
    <t>VegType</t>
  </si>
  <si>
    <t>Lawn</t>
  </si>
  <si>
    <t>Forest</t>
  </si>
  <si>
    <t>Row Crops</t>
  </si>
  <si>
    <t>Grass</t>
  </si>
  <si>
    <t>Ag. Land</t>
  </si>
  <si>
    <t>Alfalfa</t>
  </si>
  <si>
    <t>Other Est. - At-Risk</t>
  </si>
  <si>
    <t>Other Est. - HSW</t>
  </si>
  <si>
    <t>Slopedir</t>
  </si>
  <si>
    <t>north</t>
  </si>
  <si>
    <t>south</t>
  </si>
  <si>
    <t>east</t>
  </si>
  <si>
    <t>west</t>
  </si>
  <si>
    <t>southeast</t>
  </si>
  <si>
    <t>southwest</t>
  </si>
  <si>
    <t>northeast</t>
  </si>
  <si>
    <t>northwest</t>
  </si>
  <si>
    <t>Plain</t>
  </si>
  <si>
    <t>Depression</t>
  </si>
  <si>
    <t>Stream/Terrace</t>
  </si>
  <si>
    <t>Manmade</t>
  </si>
  <si>
    <t>Parent Material</t>
  </si>
  <si>
    <t>Alluvium</t>
  </si>
  <si>
    <t>Cut/Fill</t>
  </si>
  <si>
    <t>Colluvium</t>
  </si>
  <si>
    <t>Lacustrine</t>
  </si>
  <si>
    <t>Loess</t>
  </si>
  <si>
    <t>Outwash</t>
  </si>
  <si>
    <t>Till</t>
  </si>
  <si>
    <t>Manifold Connection</t>
  </si>
  <si>
    <t xml:space="preserve">Center </t>
  </si>
  <si>
    <t>Platy</t>
  </si>
  <si>
    <t>Filter only</t>
  </si>
  <si>
    <t>Other Est. - Resid.</t>
  </si>
  <si>
    <t>Pressure (non-level)</t>
  </si>
  <si>
    <t xml:space="preserve"> Basic Pump Selection Design Worksheet</t>
  </si>
  <si>
    <t>Pump Tank Design Worksheet (Demand Dose)</t>
  </si>
  <si>
    <t>Tank Buoyancy Worksheet</t>
  </si>
  <si>
    <t xml:space="preserve"> Pressure Distribution                                    Design Worksheet</t>
  </si>
  <si>
    <t xml:space="preserve">in   +   2 in  = </t>
  </si>
  <si>
    <t>Cannot be less than line 2 (Except in at-grades)</t>
  </si>
  <si>
    <r>
      <t>Number of Perforation Spaces</t>
    </r>
    <r>
      <rPr>
        <sz val="10"/>
        <rFont val="Trebuchet MS"/>
        <family val="2"/>
      </rPr>
      <t xml:space="preserve">= </t>
    </r>
  </si>
  <si>
    <t>D.   Recommended pump tank capacity:</t>
  </si>
  <si>
    <t>Pump Tank Type</t>
  </si>
  <si>
    <t>Dosing</t>
  </si>
  <si>
    <t>Tank Use:</t>
  </si>
  <si>
    <t xml:space="preserve"> -Item 18 of the Pressure Distribution or Item 11 of Non-level</t>
  </si>
  <si>
    <t>Recirculation</t>
  </si>
  <si>
    <t>Limiting Condition</t>
  </si>
  <si>
    <t>Redoximorphic Features/Saturated Soils</t>
  </si>
  <si>
    <t>Bed Rock (including soild with &gt;50% course fragments</t>
  </si>
  <si>
    <t>Flood Elevation</t>
  </si>
  <si>
    <t>Restricted percolation rates/high clay content soils</t>
  </si>
  <si>
    <t>Rock Below Pipe Inches</t>
  </si>
  <si>
    <t>Distribution Media</t>
  </si>
  <si>
    <t>Chamber</t>
  </si>
  <si>
    <t>EzFlow</t>
  </si>
  <si>
    <t>.</t>
  </si>
  <si>
    <t>Buoancy Tanks</t>
  </si>
  <si>
    <t>Septic</t>
  </si>
  <si>
    <t>C.   Tank Use:</t>
  </si>
  <si>
    <t>Depth of Observation</t>
  </si>
  <si>
    <t>Gallons (Minimum dose)</t>
  </si>
  <si>
    <t>Gallons (Maximum dose)</t>
  </si>
  <si>
    <t>inches/dose</t>
  </si>
  <si>
    <r>
      <t xml:space="preserve">Calculate </t>
    </r>
    <r>
      <rPr>
        <b/>
        <i/>
        <sz val="10"/>
        <rFont val="Trebuchet MS"/>
        <family val="2"/>
      </rPr>
      <t>Maximum</t>
    </r>
    <r>
      <rPr>
        <i/>
        <sz val="10"/>
        <rFont val="Trebuchet MS"/>
        <family val="2"/>
      </rPr>
      <t xml:space="preserve"> Pumpout Volume</t>
    </r>
    <r>
      <rPr>
        <sz val="10"/>
        <rFont val="Trebuchet MS"/>
        <family val="2"/>
      </rPr>
      <t xml:space="preserve"> (25% of Design Flow)</t>
    </r>
  </si>
  <si>
    <r>
      <t xml:space="preserve"> </t>
    </r>
    <r>
      <rPr>
        <b/>
        <i/>
        <sz val="10"/>
        <rFont val="Trebuchet MS"/>
        <family val="2"/>
      </rPr>
      <t>Minimum</t>
    </r>
    <r>
      <rPr>
        <i/>
        <sz val="10"/>
        <rFont val="Trebuchet MS"/>
        <family val="2"/>
      </rPr>
      <t xml:space="preserve"> Delivered Volume</t>
    </r>
    <r>
      <rPr>
        <sz val="10"/>
        <rFont val="Trebuchet MS"/>
        <family val="2"/>
      </rPr>
      <t xml:space="preserve"> =  4 X Volume of Distribution Piping: </t>
    </r>
  </si>
  <si>
    <r>
      <t>ft</t>
    </r>
    <r>
      <rPr>
        <vertAlign val="superscript"/>
        <sz val="12"/>
        <color indexed="8"/>
        <rFont val="Trebuchet MS"/>
        <family val="2"/>
      </rPr>
      <t xml:space="preserve">3  </t>
    </r>
    <r>
      <rPr>
        <sz val="12"/>
        <color indexed="8"/>
        <rFont val="Trebuchet MS"/>
        <family val="2"/>
      </rPr>
      <t xml:space="preserve"> X  </t>
    </r>
  </si>
  <si>
    <t>WebSoil Survey Rating</t>
  </si>
  <si>
    <t>Not Limited</t>
  </si>
  <si>
    <t>Slightly Limited</t>
  </si>
  <si>
    <t>Moderately Limited</t>
  </si>
  <si>
    <t>Very Limited</t>
  </si>
  <si>
    <t>Extremely Limited</t>
  </si>
  <si>
    <t>Shoreland Classification</t>
  </si>
  <si>
    <t>Lake - General Development</t>
  </si>
  <si>
    <t>Lake- Recreational</t>
  </si>
  <si>
    <t>Lake - Natural Environment</t>
  </si>
  <si>
    <t>River - Agricultural</t>
  </si>
  <si>
    <t>River - Tributary</t>
  </si>
  <si>
    <t>River - Forested</t>
  </si>
  <si>
    <t>River - Urban</t>
  </si>
  <si>
    <t>River - Transition</t>
  </si>
  <si>
    <t>River - Remote</t>
  </si>
  <si>
    <t>19.</t>
  </si>
  <si>
    <t>If pumping to a pressurized distribution system:</t>
  </si>
  <si>
    <t>Enter pump description:</t>
  </si>
  <si>
    <r>
      <t xml:space="preserve">Determine </t>
    </r>
    <r>
      <rPr>
        <i/>
        <sz val="10"/>
        <rFont val="Trebuchet MS"/>
        <family val="2"/>
      </rPr>
      <t>Equivalent Pipe Length</t>
    </r>
    <r>
      <rPr>
        <sz val="10"/>
        <rFont val="Trebuchet MS"/>
        <family val="2"/>
      </rPr>
      <t xml:space="preserve"> from pump discharge to soil dispersal area discharge point.  Estimate by adding 25% to supply pipe length for fitting loss.  </t>
    </r>
    <r>
      <rPr>
        <i/>
        <sz val="10"/>
        <rFont val="Trebuchet MS"/>
        <family val="2"/>
      </rPr>
      <t xml:space="preserve">Supply Pipe Length </t>
    </r>
    <r>
      <rPr>
        <sz val="10"/>
        <rFont val="Trebuchet MS"/>
        <family val="2"/>
      </rPr>
      <t xml:space="preserve">X 1.25 = </t>
    </r>
    <r>
      <rPr>
        <i/>
        <sz val="10"/>
        <rFont val="Trebuchet MS"/>
        <family val="2"/>
      </rPr>
      <t>Equivalent Pipe Length</t>
    </r>
  </si>
  <si>
    <r>
      <t xml:space="preserve">Calculate </t>
    </r>
    <r>
      <rPr>
        <i/>
        <sz val="10"/>
        <rFont val="Trebuchet MS"/>
        <family val="2"/>
      </rPr>
      <t>Supply Friction Loss</t>
    </r>
    <r>
      <rPr>
        <sz val="10"/>
        <rFont val="Trebuchet MS"/>
        <family val="2"/>
      </rPr>
      <t xml:space="preserve"> by multiplying </t>
    </r>
    <r>
      <rPr>
        <i/>
        <sz val="10"/>
        <rFont val="Trebuchet MS"/>
        <family val="2"/>
      </rPr>
      <t>Friction Loss Per 100ft</t>
    </r>
    <r>
      <rPr>
        <sz val="10"/>
        <rFont val="Trebuchet MS"/>
        <family val="2"/>
      </rPr>
      <t xml:space="preserve"> by the </t>
    </r>
    <r>
      <rPr>
        <i/>
        <sz val="10"/>
        <rFont val="Trebuchet MS"/>
        <family val="2"/>
      </rPr>
      <t>Equivalent Pipe Length</t>
    </r>
    <r>
      <rPr>
        <sz val="10"/>
        <rFont val="Trebuchet MS"/>
        <family val="2"/>
      </rPr>
      <t xml:space="preserve"> and divide by 100.</t>
    </r>
  </si>
  <si>
    <t>GPM  with at least</t>
  </si>
  <si>
    <r>
      <t>ft</t>
    </r>
    <r>
      <rPr>
        <vertAlign val="superscript"/>
        <sz val="10"/>
        <rFont val="Trebuchet MS"/>
        <family val="2"/>
      </rPr>
      <t xml:space="preserve">2 </t>
    </r>
    <r>
      <rPr>
        <sz val="10"/>
        <rFont val="Trebuchet MS"/>
        <family val="2"/>
      </rPr>
      <t>÷</t>
    </r>
  </si>
  <si>
    <t>perf =</t>
  </si>
  <si>
    <r>
      <t xml:space="preserve">Calculate the </t>
    </r>
    <r>
      <rPr>
        <i/>
        <sz val="10"/>
        <rFont val="Trebuchet MS"/>
        <family val="2"/>
      </rPr>
      <t xml:space="preserve">Square Feet per Perforation.  </t>
    </r>
  </si>
  <si>
    <t>Recommended value is 4-11 ft2 per perforation, Does not apply to At-Grades</t>
  </si>
  <si>
    <r>
      <t>Square Foot per Perforation</t>
    </r>
    <r>
      <rPr>
        <sz val="10"/>
        <rFont val="Trebuchet MS"/>
        <family val="2"/>
      </rPr>
      <t xml:space="preserve"> = </t>
    </r>
    <r>
      <rPr>
        <i/>
        <sz val="10"/>
        <rFont val="Trebuchet MS"/>
        <family val="2"/>
      </rPr>
      <t>Bed Area</t>
    </r>
    <r>
      <rPr>
        <sz val="10"/>
        <rFont val="Trebuchet MS"/>
        <family val="2"/>
      </rPr>
      <t xml:space="preserve"> ÷ by the </t>
    </r>
    <r>
      <rPr>
        <i/>
        <sz val="10"/>
        <rFont val="Trebuchet MS"/>
        <family val="2"/>
      </rPr>
      <t>Total Number of Perfs</t>
    </r>
  </si>
  <si>
    <t>GPM per Perf</t>
  </si>
  <si>
    <r>
      <rPr>
        <i/>
        <sz val="10"/>
        <rFont val="Trebuchet MS"/>
        <family val="2"/>
      </rPr>
      <t>Flow Rate</t>
    </r>
    <r>
      <rPr>
        <sz val="10"/>
        <rFont val="Trebuchet MS"/>
        <family val="2"/>
      </rPr>
      <t xml:space="preserve"> = </t>
    </r>
    <r>
      <rPr>
        <i/>
        <sz val="10"/>
        <rFont val="Trebuchet MS"/>
        <family val="2"/>
      </rPr>
      <t xml:space="preserve">Total Number of Perfs X </t>
    </r>
    <r>
      <rPr>
        <i/>
        <sz val="10"/>
        <rFont val="Trebuchet MS"/>
        <family val="2"/>
      </rPr>
      <t>Perforation Discharge.</t>
    </r>
  </si>
  <si>
    <r>
      <t xml:space="preserve">Select </t>
    </r>
    <r>
      <rPr>
        <i/>
        <sz val="10"/>
        <rFont val="Trebuchet MS"/>
        <family val="2"/>
      </rPr>
      <t xml:space="preserve">Perforation Discharge </t>
    </r>
    <r>
      <rPr>
        <sz val="10"/>
        <rFont val="Trebuchet MS"/>
        <family val="2"/>
      </rPr>
      <t>based on Table:</t>
    </r>
  </si>
  <si>
    <r>
      <t>ft</t>
    </r>
    <r>
      <rPr>
        <vertAlign val="superscript"/>
        <sz val="10"/>
        <rFont val="Trebuchet MS"/>
        <family val="2"/>
      </rPr>
      <t>2</t>
    </r>
    <r>
      <rPr>
        <sz val="10"/>
        <rFont val="Trebuchet MS"/>
        <family val="2"/>
      </rPr>
      <t>/perf</t>
    </r>
  </si>
  <si>
    <r>
      <t>Total Head</t>
    </r>
    <r>
      <rPr>
        <sz val="10"/>
        <rFont val="Trebuchet MS"/>
        <family val="2"/>
      </rPr>
      <t xml:space="preserve"> requirement is the sum of the </t>
    </r>
    <r>
      <rPr>
        <i/>
        <sz val="10"/>
        <rFont val="Trebuchet MS"/>
        <family val="2"/>
      </rPr>
      <t xml:space="preserve">Elevation Difference + </t>
    </r>
    <r>
      <rPr>
        <sz val="10"/>
        <rFont val="Trebuchet MS"/>
        <family val="2"/>
      </rPr>
      <t>Distribution Head Loss, + Additional Head Loss + Supply Friction Loss</t>
    </r>
  </si>
  <si>
    <r>
      <t xml:space="preserve">(Pump and block height + 2 inches) X </t>
    </r>
    <r>
      <rPr>
        <i/>
        <sz val="10"/>
        <rFont val="Trebuchet MS"/>
        <family val="2"/>
      </rPr>
      <t>Gallons Per Inch</t>
    </r>
  </si>
  <si>
    <t>Landscape Position</t>
  </si>
  <si>
    <t>Back/Side Slope</t>
  </si>
  <si>
    <t>Chamber Low Profile</t>
  </si>
  <si>
    <t>Chamber High Capacity</t>
  </si>
  <si>
    <t>Eljen GSF</t>
  </si>
  <si>
    <t>Trench Distribution</t>
  </si>
  <si>
    <t>Gravity - Drop Box</t>
  </si>
  <si>
    <t>Gravity - Other</t>
  </si>
  <si>
    <t>Bed Dristribution</t>
  </si>
  <si>
    <t>Holding Tank</t>
  </si>
  <si>
    <t>Septic/Dosing Combo</t>
  </si>
  <si>
    <t>Pipe Diameter</t>
  </si>
  <si>
    <t>Pit</t>
  </si>
  <si>
    <t>Separation Distance</t>
  </si>
  <si>
    <t>5/32</t>
  </si>
  <si>
    <t>Spacing of laterals;  Must be greater than 1 foot and no more than 3.5 feet:</t>
  </si>
  <si>
    <t>v 9.9.2021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</si>
</sst>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
    <numFmt numFmtId="166" formatCode="[$-409]mmmm\ d\,\ yyyy;@"/>
    <numFmt numFmtId="167" formatCode="0.0;\-0;;@"/>
    <numFmt numFmtId="168" formatCode="_([$€-2]* #,##0.00_);_([$€-2]* \(#,##0.00\);_([$€-2]* &quot;-&quot;??_)"/>
    <numFmt numFmtId="169" formatCode=";;;"/>
    <numFmt numFmtId="170" formatCode="#,##0.0"/>
    <numFmt numFmtId="171" formatCode="0.00;\-0.00;;@"/>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6"/>
      <name val="Trebuchet MS"/>
      <family val="2"/>
    </font>
    <font>
      <sz val="10"/>
      <name val="Trebuchet MS"/>
      <family val="2"/>
    </font>
    <font>
      <i/>
      <sz val="10"/>
      <name val="Trebuchet MS"/>
      <family val="2"/>
    </font>
    <font>
      <b/>
      <sz val="10"/>
      <name val="Trebuchet MS"/>
      <family val="2"/>
    </font>
    <font>
      <b/>
      <sz val="12"/>
      <name val="Trebuchet MS"/>
      <family val="2"/>
    </font>
    <font>
      <sz val="12"/>
      <name val="Trebuchet MS"/>
      <family val="2"/>
    </font>
    <font>
      <sz val="10"/>
      <color indexed="9"/>
      <name val="Trebuchet MS"/>
      <family val="2"/>
    </font>
    <font>
      <b/>
      <vertAlign val="superscript"/>
      <sz val="10"/>
      <name val="Trebuchet MS"/>
      <family val="2"/>
    </font>
    <font>
      <b/>
      <i/>
      <sz val="10"/>
      <name val="Trebuchet MS"/>
      <family val="2"/>
    </font>
    <font>
      <vertAlign val="superscript"/>
      <sz val="10"/>
      <name val="Trebuchet MS"/>
      <family val="2"/>
    </font>
    <font>
      <sz val="10"/>
      <name val="Arial"/>
      <family val="2"/>
    </font>
    <font>
      <b/>
      <sz val="20"/>
      <name val="Trebuchet MS"/>
      <family val="2"/>
    </font>
    <font>
      <sz val="8"/>
      <name val="Arial"/>
      <family val="2"/>
    </font>
    <font>
      <sz val="11"/>
      <color indexed="8"/>
      <name val="Calibri"/>
      <family val="2"/>
    </font>
    <font>
      <sz val="20"/>
      <name val="Arial"/>
      <family val="2"/>
    </font>
    <font>
      <sz val="14"/>
      <name val="Trebuchet MS"/>
      <family val="2"/>
    </font>
    <font>
      <sz val="9"/>
      <name val="Arial"/>
      <family val="2"/>
    </font>
    <font>
      <sz val="10"/>
      <color indexed="8"/>
      <name val="Trebuchet MS"/>
      <family val="2"/>
    </font>
    <font>
      <b/>
      <sz val="10"/>
      <color indexed="9"/>
      <name val="Trebuchet MS"/>
      <family val="2"/>
    </font>
    <font>
      <sz val="8"/>
      <name val="Trebuchet MS"/>
      <family val="2"/>
    </font>
    <font>
      <sz val="10"/>
      <color indexed="10"/>
      <name val="Trebuchet MS"/>
      <family val="2"/>
    </font>
    <font>
      <b/>
      <sz val="14"/>
      <name val="Trebuchet MS"/>
      <family val="2"/>
    </font>
    <font>
      <b/>
      <sz val="14"/>
      <name val="Arial"/>
      <family val="2"/>
    </font>
    <font>
      <sz val="11"/>
      <color indexed="8"/>
      <name val="Trebuchet MS"/>
      <family val="2"/>
    </font>
    <font>
      <i/>
      <sz val="10"/>
      <color indexed="8"/>
      <name val="Trebuchet MS"/>
      <family val="2"/>
    </font>
    <font>
      <i/>
      <sz val="9"/>
      <name val="Trebuchet MS"/>
      <family val="2"/>
    </font>
    <font>
      <i/>
      <sz val="10"/>
      <name val="Arial"/>
      <family val="2"/>
    </font>
    <font>
      <i/>
      <u/>
      <sz val="10"/>
      <name val="Trebuchet MS"/>
      <family val="2"/>
    </font>
    <font>
      <sz val="12"/>
      <name val="Arial"/>
      <family val="2"/>
    </font>
    <font>
      <b/>
      <sz val="12"/>
      <color indexed="8"/>
      <name val="Trebuchet MS"/>
      <family val="2"/>
    </font>
    <font>
      <sz val="12"/>
      <color indexed="8"/>
      <name val="Trebuchet MS"/>
      <family val="2"/>
    </font>
    <font>
      <b/>
      <sz val="10"/>
      <color indexed="10"/>
      <name val="Trebuchet MS"/>
      <family val="2"/>
    </font>
    <font>
      <sz val="10"/>
      <name val="Arial"/>
      <family val="2"/>
    </font>
    <font>
      <vertAlign val="superscript"/>
      <sz val="12"/>
      <color indexed="8"/>
      <name val="Trebuchet MS"/>
      <family val="2"/>
    </font>
    <font>
      <sz val="11"/>
      <color indexed="8"/>
      <name val="Trebuchet MS"/>
      <family val="2"/>
    </font>
    <font>
      <sz val="14"/>
      <color indexed="8"/>
      <name val="Trebuchet MS"/>
      <family val="2"/>
    </font>
    <font>
      <b/>
      <sz val="11"/>
      <color indexed="8"/>
      <name val="Trebuchet MS"/>
      <family val="2"/>
    </font>
    <font>
      <sz val="10"/>
      <color indexed="8"/>
      <name val="Trebuchet MS"/>
      <family val="2"/>
    </font>
    <font>
      <i/>
      <sz val="10"/>
      <color indexed="8"/>
      <name val="Trebuchet MS"/>
      <family val="2"/>
    </font>
    <font>
      <b/>
      <sz val="10"/>
      <color indexed="47"/>
      <name val="Trebuchet MS"/>
      <family val="2"/>
    </font>
    <font>
      <sz val="12"/>
      <color indexed="8"/>
      <name val="Calibri"/>
      <family val="2"/>
    </font>
    <font>
      <vertAlign val="superscript"/>
      <sz val="12"/>
      <color indexed="8"/>
      <name val="Calibri"/>
      <family val="2"/>
    </font>
    <font>
      <b/>
      <vertAlign val="subscript"/>
      <sz val="12"/>
      <color indexed="8"/>
      <name val="Trebuchet MS"/>
      <family val="2"/>
    </font>
    <font>
      <b/>
      <vertAlign val="superscript"/>
      <sz val="12"/>
      <color indexed="8"/>
      <name val="Trebuchet MS"/>
      <family val="2"/>
    </font>
    <font>
      <vertAlign val="subscript"/>
      <sz val="12"/>
      <color indexed="8"/>
      <name val="Trebuchet MS"/>
      <family val="2"/>
    </font>
    <font>
      <sz val="12"/>
      <color indexed="8"/>
      <name val="Trebuchet MS"/>
      <family val="2"/>
    </font>
    <font>
      <sz val="10"/>
      <color indexed="8"/>
      <name val="Trebuchet MS"/>
      <family val="2"/>
    </font>
    <font>
      <b/>
      <sz val="12"/>
      <color indexed="8"/>
      <name val="Trebuchet MS"/>
      <family val="2"/>
    </font>
    <font>
      <b/>
      <sz val="10"/>
      <color indexed="8"/>
      <name val="Trebuchet MS"/>
      <family val="2"/>
    </font>
    <font>
      <i/>
      <sz val="10"/>
      <color indexed="8"/>
      <name val="Trebuchet MS"/>
      <family val="2"/>
    </font>
    <font>
      <sz val="12"/>
      <color indexed="8"/>
      <name val="Calibri"/>
      <family val="2"/>
    </font>
    <font>
      <i/>
      <sz val="9.5"/>
      <name val="Trebuchet MS"/>
      <family val="2"/>
    </font>
    <font>
      <sz val="10"/>
      <color indexed="10"/>
      <name val="Trebuchet MS"/>
      <family val="2"/>
    </font>
    <font>
      <sz val="10"/>
      <color indexed="8"/>
      <name val="Trebuchet MS"/>
      <family val="2"/>
    </font>
    <font>
      <sz val="10"/>
      <color indexed="10"/>
      <name val="Trebuchet MS"/>
      <family val="2"/>
    </font>
    <font>
      <i/>
      <sz val="8"/>
      <name val="Trebuchet MS"/>
      <family val="2"/>
    </font>
    <font>
      <sz val="11"/>
      <color theme="1"/>
      <name val="Calibri"/>
      <family val="2"/>
      <scheme val="minor"/>
    </font>
    <font>
      <sz val="10"/>
      <color rgb="FFFF0000"/>
      <name val="Trebuchet MS"/>
      <family val="2"/>
    </font>
    <font>
      <i/>
      <sz val="10"/>
      <color theme="9" tint="-0.249977111117893"/>
      <name val="Trebuchet MS"/>
      <family val="2"/>
    </font>
    <font>
      <b/>
      <sz val="10"/>
      <color rgb="FFFFFF00"/>
      <name val="Trebuchet MS"/>
      <family val="2"/>
    </font>
    <font>
      <b/>
      <sz val="10"/>
      <color rgb="FFC00000"/>
      <name val="Trebuchet MS"/>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EE5ED"/>
        <bgColor indexed="64"/>
      </patternFill>
    </fill>
    <fill>
      <patternFill patternType="solid">
        <fgColor rgb="FFCFE5E9"/>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s>
  <borders count="34">
    <border>
      <left/>
      <right/>
      <top/>
      <bottom/>
      <diagonal/>
    </border>
    <border>
      <left/>
      <right style="medium">
        <color indexed="64"/>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s>
  <cellStyleXfs count="295">
    <xf numFmtId="0" fontId="0" fillId="0" borderId="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0" fontId="22" fillId="0" borderId="0"/>
    <xf numFmtId="0" fontId="19" fillId="0" borderId="0"/>
    <xf numFmtId="0" fontId="22" fillId="0" borderId="0"/>
    <xf numFmtId="0" fontId="7" fillId="0" borderId="0"/>
    <xf numFmtId="0" fontId="6" fillId="0" borderId="0"/>
    <xf numFmtId="0" fontId="7" fillId="0" borderId="0"/>
    <xf numFmtId="0" fontId="6" fillId="0" borderId="0"/>
    <xf numFmtId="0" fontId="6" fillId="0" borderId="0"/>
    <xf numFmtId="0" fontId="22" fillId="0" borderId="0"/>
    <xf numFmtId="0" fontId="7" fillId="0" borderId="0"/>
    <xf numFmtId="0" fontId="6" fillId="0" borderId="0"/>
    <xf numFmtId="0" fontId="7"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22" fillId="0" borderId="0"/>
    <xf numFmtId="0" fontId="7" fillId="0" borderId="0"/>
    <xf numFmtId="0" fontId="6" fillId="0" borderId="0"/>
    <xf numFmtId="0" fontId="7" fillId="0" borderId="0"/>
    <xf numFmtId="0" fontId="6" fillId="0" borderId="0"/>
    <xf numFmtId="0" fontId="6" fillId="0" borderId="0"/>
    <xf numFmtId="0" fontId="19" fillId="0" borderId="0"/>
    <xf numFmtId="0" fontId="8" fillId="0" borderId="0"/>
    <xf numFmtId="0" fontId="7" fillId="0" borderId="0"/>
    <xf numFmtId="0" fontId="7" fillId="0" borderId="0"/>
    <xf numFmtId="0" fontId="6" fillId="0" borderId="0"/>
    <xf numFmtId="0" fontId="6" fillId="0" borderId="0"/>
    <xf numFmtId="0" fontId="7" fillId="0" borderId="0"/>
    <xf numFmtId="0" fontId="6" fillId="0" borderId="0"/>
    <xf numFmtId="0" fontId="41" fillId="0" borderId="0"/>
    <xf numFmtId="0" fontId="8" fillId="0" borderId="0"/>
    <xf numFmtId="0" fontId="8" fillId="0" borderId="0"/>
    <xf numFmtId="0" fontId="6" fillId="0" borderId="0"/>
    <xf numFmtId="0" fontId="65" fillId="0" borderId="0"/>
    <xf numFmtId="0" fontId="65" fillId="0" borderId="0"/>
    <xf numFmtId="0" fontId="65" fillId="0" borderId="0"/>
    <xf numFmtId="0" fontId="65" fillId="0" borderId="0"/>
    <xf numFmtId="0" fontId="65" fillId="0" borderId="0"/>
    <xf numFmtId="0" fontId="19" fillId="0" borderId="0"/>
    <xf numFmtId="0" fontId="8" fillId="0" borderId="0"/>
    <xf numFmtId="0" fontId="8" fillId="0" borderId="0"/>
    <xf numFmtId="0" fontId="8" fillId="0" borderId="0"/>
    <xf numFmtId="0" fontId="8" fillId="0" borderId="0"/>
    <xf numFmtId="0" fontId="8" fillId="0" borderId="0"/>
    <xf numFmtId="0" fontId="32" fillId="0" borderId="0"/>
    <xf numFmtId="0" fontId="32" fillId="0" borderId="0"/>
    <xf numFmtId="0" fontId="32" fillId="0" borderId="0"/>
    <xf numFmtId="0" fontId="32"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07">
    <xf numFmtId="0" fontId="0" fillId="0" borderId="0" xfId="0"/>
    <xf numFmtId="0" fontId="10" fillId="0" borderId="0" xfId="0" applyFont="1"/>
    <xf numFmtId="0" fontId="10" fillId="0" borderId="0" xfId="0" applyFont="1" applyBorder="1"/>
    <xf numFmtId="0" fontId="10" fillId="0" borderId="0" xfId="0" applyFont="1" applyBorder="1" applyAlignment="1">
      <alignment vertical="center"/>
    </xf>
    <xf numFmtId="0" fontId="10" fillId="0" borderId="0" xfId="0" applyFont="1" applyFill="1" applyBorder="1"/>
    <xf numFmtId="0" fontId="10" fillId="0" borderId="0" xfId="0" applyFont="1" applyBorder="1" applyAlignment="1">
      <alignment horizontal="center" vertical="center"/>
    </xf>
    <xf numFmtId="0" fontId="10" fillId="0" borderId="0" xfId="0" applyFont="1" applyFill="1"/>
    <xf numFmtId="0" fontId="11" fillId="0" borderId="0" xfId="0" applyFont="1" applyBorder="1" applyAlignment="1">
      <alignment vertical="center"/>
    </xf>
    <xf numFmtId="0" fontId="10" fillId="0" borderId="0" xfId="0" applyFont="1" applyBorder="1" applyAlignment="1">
      <alignment horizontal="center"/>
    </xf>
    <xf numFmtId="0" fontId="11" fillId="0" borderId="0" xfId="0" applyFont="1" applyBorder="1" applyAlignment="1">
      <alignment horizontal="left" vertical="center"/>
    </xf>
    <xf numFmtId="0" fontId="10" fillId="0" borderId="0" xfId="0" applyFont="1" applyBorder="1" applyAlignment="1">
      <alignment horizontal="left" vertical="center"/>
    </xf>
    <xf numFmtId="0" fontId="10" fillId="0" borderId="0" xfId="0" quotePrefix="1" applyFont="1" applyBorder="1" applyAlignment="1">
      <alignment horizontal="center" vertical="center"/>
    </xf>
    <xf numFmtId="0" fontId="10" fillId="0" borderId="0" xfId="0" applyFont="1" applyBorder="1" applyAlignment="1">
      <alignment horizontal="left" vertical="center" wrapText="1"/>
    </xf>
    <xf numFmtId="0" fontId="16" fillId="0" borderId="0" xfId="0" applyFont="1" applyBorder="1" applyAlignment="1">
      <alignment horizontal="center"/>
    </xf>
    <xf numFmtId="164" fontId="10" fillId="0" borderId="0" xfId="0" applyNumberFormat="1" applyFont="1" applyBorder="1" applyAlignment="1">
      <alignment horizontal="center" vertical="center"/>
    </xf>
    <xf numFmtId="0" fontId="10" fillId="0" borderId="0" xfId="0" applyFont="1" applyBorder="1" applyAlignment="1">
      <alignment horizontal="left" wrapText="1"/>
    </xf>
    <xf numFmtId="0" fontId="19" fillId="0" borderId="0" xfId="0" applyFont="1" applyBorder="1" applyAlignment="1">
      <alignment horizontal="center" vertical="center"/>
    </xf>
    <xf numFmtId="0" fontId="19" fillId="0" borderId="0" xfId="0" applyFont="1" applyBorder="1"/>
    <xf numFmtId="0" fontId="19" fillId="0" borderId="0" xfId="0" applyFont="1" applyBorder="1" applyAlignment="1">
      <alignment horizontal="center"/>
    </xf>
    <xf numFmtId="0" fontId="10" fillId="0" borderId="0" xfId="0" applyFont="1" applyAlignment="1">
      <alignment horizontal="left" vertical="center"/>
    </xf>
    <xf numFmtId="0" fontId="10" fillId="0" borderId="0" xfId="0" applyFont="1" applyAlignment="1">
      <alignment horizontal="center" vertical="center"/>
    </xf>
    <xf numFmtId="0" fontId="12" fillId="0" borderId="0" xfId="0" applyFont="1" applyBorder="1" applyAlignment="1">
      <alignment horizontal="left" vertical="center"/>
    </xf>
    <xf numFmtId="0" fontId="10" fillId="0" borderId="0" xfId="0" applyFont="1" applyFill="1" applyBorder="1" applyAlignment="1">
      <alignment horizontal="left" vertical="center"/>
    </xf>
    <xf numFmtId="2" fontId="10" fillId="0" borderId="0" xfId="0" applyNumberFormat="1" applyFont="1" applyFill="1" applyBorder="1" applyAlignment="1">
      <alignment horizontal="center" vertical="center"/>
    </xf>
    <xf numFmtId="0" fontId="11" fillId="0" borderId="0" xfId="0" applyFont="1" applyBorder="1" applyAlignment="1">
      <alignment horizontal="left"/>
    </xf>
    <xf numFmtId="0" fontId="10" fillId="0" borderId="0" xfId="0" applyFont="1" applyFill="1" applyBorder="1" applyAlignment="1">
      <alignment horizontal="center" vertical="center"/>
    </xf>
    <xf numFmtId="165" fontId="10" fillId="0" borderId="0" xfId="0" applyNumberFormat="1" applyFont="1" applyBorder="1" applyAlignment="1">
      <alignment horizontal="center" vertical="center"/>
    </xf>
    <xf numFmtId="0" fontId="19" fillId="0" borderId="0" xfId="0" applyFont="1" applyBorder="1" applyAlignment="1">
      <alignment vertical="center"/>
    </xf>
    <xf numFmtId="165" fontId="10" fillId="0" borderId="0" xfId="0" applyNumberFormat="1" applyFont="1" applyAlignment="1">
      <alignment horizontal="center"/>
    </xf>
    <xf numFmtId="0" fontId="10" fillId="0" borderId="0" xfId="0" applyFont="1" applyFill="1" applyBorder="1" applyAlignment="1">
      <alignment vertical="center"/>
    </xf>
    <xf numFmtId="0" fontId="10" fillId="0" borderId="0" xfId="0" quotePrefix="1" applyFont="1" applyFill="1" applyBorder="1" applyAlignment="1">
      <alignment horizontal="center" vertical="center"/>
    </xf>
    <xf numFmtId="0" fontId="10" fillId="0" borderId="0" xfId="0" applyFont="1" applyFill="1" applyBorder="1" applyAlignment="1">
      <alignment horizontal="center"/>
    </xf>
    <xf numFmtId="0" fontId="10" fillId="0" borderId="0" xfId="0" applyFont="1" applyAlignment="1">
      <alignment vertical="center"/>
    </xf>
    <xf numFmtId="165" fontId="10" fillId="0" borderId="0" xfId="0" applyNumberFormat="1" applyFont="1"/>
    <xf numFmtId="0" fontId="10" fillId="0" borderId="0" xfId="0" applyFont="1" applyFill="1" applyBorder="1" applyAlignment="1">
      <alignment horizontal="right" vertical="center"/>
    </xf>
    <xf numFmtId="0" fontId="10" fillId="0" borderId="4" xfId="0" applyFont="1" applyFill="1" applyBorder="1"/>
    <xf numFmtId="0" fontId="10" fillId="0" borderId="7" xfId="0" applyFont="1" applyFill="1" applyBorder="1"/>
    <xf numFmtId="0" fontId="10" fillId="0" borderId="0" xfId="0" applyFont="1" applyBorder="1" applyAlignment="1"/>
    <xf numFmtId="0" fontId="11" fillId="0" borderId="0" xfId="0" applyFont="1" applyBorder="1" applyAlignment="1">
      <alignment horizontal="left" vertical="center" wrapText="1"/>
    </xf>
    <xf numFmtId="0" fontId="10" fillId="0" borderId="0" xfId="0" applyFont="1" applyFill="1" applyAlignment="1">
      <alignment horizontal="left" vertical="center"/>
    </xf>
    <xf numFmtId="2" fontId="12" fillId="0" borderId="0" xfId="0" applyNumberFormat="1" applyFont="1" applyBorder="1" applyAlignment="1">
      <alignment horizontal="center" vertical="center"/>
    </xf>
    <xf numFmtId="0" fontId="11"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1" fillId="0" borderId="0" xfId="0" applyFont="1" applyBorder="1" applyAlignment="1"/>
    <xf numFmtId="0" fontId="12" fillId="0" borderId="0" xfId="0" applyFont="1" applyBorder="1" applyAlignment="1">
      <alignment horizontal="center" vertical="center"/>
    </xf>
    <xf numFmtId="1" fontId="12" fillId="0" borderId="0" xfId="0" applyNumberFormat="1" applyFont="1" applyFill="1" applyBorder="1" applyAlignment="1">
      <alignment horizontal="center" vertical="center"/>
    </xf>
    <xf numFmtId="165" fontId="12" fillId="0" borderId="0" xfId="0" applyNumberFormat="1" applyFont="1" applyFill="1" applyBorder="1" applyAlignment="1">
      <alignment horizontal="center" vertical="center"/>
    </xf>
    <xf numFmtId="167" fontId="12" fillId="0" borderId="0" xfId="0" applyNumberFormat="1" applyFont="1" applyFill="1" applyBorder="1" applyAlignment="1">
      <alignment horizontal="center" vertical="center"/>
    </xf>
    <xf numFmtId="2"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4" xfId="0" applyFont="1" applyBorder="1"/>
    <xf numFmtId="0" fontId="10" fillId="0" borderId="7" xfId="0" applyFont="1" applyBorder="1"/>
    <xf numFmtId="0" fontId="10" fillId="0" borderId="5" xfId="0" applyFont="1" applyBorder="1"/>
    <xf numFmtId="0" fontId="10" fillId="0" borderId="4" xfId="0" applyFont="1" applyBorder="1" applyAlignment="1">
      <alignment horizontal="center" vertical="center"/>
    </xf>
    <xf numFmtId="0" fontId="10" fillId="0" borderId="3" xfId="0" applyFont="1" applyBorder="1"/>
    <xf numFmtId="0" fontId="12" fillId="0" borderId="4" xfId="0" applyFont="1" applyFill="1" applyBorder="1" applyAlignment="1">
      <alignment horizontal="center" vertical="center"/>
    </xf>
    <xf numFmtId="0" fontId="10" fillId="0" borderId="7" xfId="0" applyFont="1" applyBorder="1" applyAlignment="1">
      <alignment horizontal="left" vertical="center"/>
    </xf>
    <xf numFmtId="0" fontId="10" fillId="0" borderId="6" xfId="0" applyFont="1" applyBorder="1" applyAlignment="1">
      <alignment horizontal="right"/>
    </xf>
    <xf numFmtId="0" fontId="10" fillId="0" borderId="9" xfId="0" applyFont="1" applyBorder="1" applyAlignment="1">
      <alignment horizontal="left" vertical="center"/>
    </xf>
    <xf numFmtId="0" fontId="10" fillId="0" borderId="0" xfId="0" applyFont="1" applyFill="1" applyBorder="1" applyAlignment="1">
      <alignment horizontal="left" wrapText="1"/>
    </xf>
    <xf numFmtId="0" fontId="10" fillId="0" borderId="6" xfId="0" applyFont="1" applyBorder="1"/>
    <xf numFmtId="0" fontId="16" fillId="0" borderId="0" xfId="0" quotePrefix="1" applyFont="1" applyBorder="1" applyAlignment="1">
      <alignment horizontal="center"/>
    </xf>
    <xf numFmtId="0" fontId="10" fillId="0" borderId="6" xfId="0" applyFont="1" applyBorder="1" applyAlignment="1">
      <alignment vertical="center"/>
    </xf>
    <xf numFmtId="164" fontId="12" fillId="0" borderId="0" xfId="0" applyNumberFormat="1" applyFont="1" applyFill="1" applyBorder="1" applyAlignment="1">
      <alignment horizontal="center" vertical="center"/>
    </xf>
    <xf numFmtId="49" fontId="12" fillId="0" borderId="0" xfId="0" applyNumberFormat="1" applyFont="1" applyFill="1" applyBorder="1" applyAlignment="1">
      <alignment horizontal="left" vertical="center" wrapText="1"/>
    </xf>
    <xf numFmtId="2" fontId="10" fillId="0" borderId="0" xfId="0" applyNumberFormat="1" applyFont="1" applyBorder="1" applyAlignment="1">
      <alignment horizontal="center" vertical="center"/>
    </xf>
    <xf numFmtId="166" fontId="12" fillId="0" borderId="0" xfId="0" applyNumberFormat="1" applyFont="1" applyBorder="1" applyAlignment="1">
      <alignment horizontal="center" vertical="center"/>
    </xf>
    <xf numFmtId="0" fontId="12" fillId="0" borderId="0" xfId="0" applyFont="1" applyAlignment="1">
      <alignment horizontal="left" vertical="center"/>
    </xf>
    <xf numFmtId="0" fontId="16" fillId="0" borderId="0" xfId="0" applyFont="1" applyFill="1" applyBorder="1" applyAlignment="1">
      <alignment horizontal="left" vertical="top"/>
    </xf>
    <xf numFmtId="165" fontId="10" fillId="0" borderId="0" xfId="0" applyNumberFormat="1" applyFont="1" applyBorder="1" applyAlignment="1">
      <alignment horizontal="center"/>
    </xf>
    <xf numFmtId="0" fontId="12" fillId="0" borderId="6" xfId="0" applyFont="1" applyBorder="1" applyAlignment="1">
      <alignment horizontal="center" vertical="center"/>
    </xf>
    <xf numFmtId="0" fontId="0" fillId="0" borderId="0" xfId="0" applyBorder="1" applyAlignment="1">
      <alignment vertical="center"/>
    </xf>
    <xf numFmtId="0" fontId="14" fillId="0" borderId="0" xfId="0" applyFont="1" applyBorder="1" applyAlignment="1">
      <alignment horizontal="center" vertical="center"/>
    </xf>
    <xf numFmtId="0" fontId="0" fillId="0" borderId="0" xfId="0" applyBorder="1" applyAlignment="1">
      <alignment horizontal="left" vertical="center"/>
    </xf>
    <xf numFmtId="0" fontId="10" fillId="0" borderId="4" xfId="0" applyFont="1" applyBorder="1" applyAlignment="1">
      <alignment horizontal="left" vertical="center"/>
    </xf>
    <xf numFmtId="0" fontId="15" fillId="0" borderId="0" xfId="0" applyFont="1" applyBorder="1" applyAlignment="1">
      <alignment horizontal="center" vertical="center"/>
    </xf>
    <xf numFmtId="0" fontId="15" fillId="0" borderId="0" xfId="0" applyFont="1"/>
    <xf numFmtId="0" fontId="15" fillId="0" borderId="0" xfId="0" applyFont="1" applyBorder="1" applyAlignment="1">
      <alignment horizontal="left" vertical="center"/>
    </xf>
    <xf numFmtId="0" fontId="10" fillId="0" borderId="6" xfId="0" quotePrefix="1" applyFont="1" applyBorder="1" applyAlignment="1">
      <alignment horizontal="center"/>
    </xf>
    <xf numFmtId="1" fontId="12" fillId="0" borderId="4"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0" xfId="0" applyFont="1" applyFill="1" applyBorder="1" applyAlignment="1">
      <alignment horizontal="left" vertical="center"/>
    </xf>
    <xf numFmtId="0" fontId="10" fillId="0" borderId="0" xfId="0" quotePrefix="1" applyFont="1" applyFill="1"/>
    <xf numFmtId="0" fontId="10" fillId="0" borderId="7" xfId="0" applyFont="1" applyBorder="1" applyAlignment="1">
      <alignment horizontal="center" vertical="center"/>
    </xf>
    <xf numFmtId="0" fontId="12" fillId="0" borderId="7" xfId="0" applyFont="1" applyFill="1" applyBorder="1" applyAlignment="1">
      <alignment horizontal="center" vertical="center"/>
    </xf>
    <xf numFmtId="164" fontId="10" fillId="0" borderId="0" xfId="0" applyNumberFormat="1" applyFont="1" applyFill="1" applyBorder="1" applyAlignment="1">
      <alignment horizontal="center" vertical="center"/>
    </xf>
    <xf numFmtId="0" fontId="10" fillId="0" borderId="4" xfId="0" applyFont="1" applyFill="1" applyBorder="1" applyAlignment="1">
      <alignment horizontal="left" vertical="center"/>
    </xf>
    <xf numFmtId="165" fontId="10" fillId="0" borderId="0" xfId="0" applyNumberFormat="1" applyFont="1" applyBorder="1" applyAlignment="1">
      <alignment horizontal="left"/>
    </xf>
    <xf numFmtId="165" fontId="12" fillId="0" borderId="0" xfId="0" applyNumberFormat="1" applyFont="1" applyBorder="1" applyAlignment="1">
      <alignment horizontal="center" vertical="center"/>
    </xf>
    <xf numFmtId="0" fontId="12" fillId="0" borderId="9" xfId="0" applyFont="1" applyFill="1" applyBorder="1" applyAlignment="1">
      <alignment horizontal="left" vertical="center"/>
    </xf>
    <xf numFmtId="0" fontId="17" fillId="0" borderId="0" xfId="0" applyFont="1" applyFill="1" applyBorder="1" applyAlignment="1">
      <alignment horizontal="left" vertical="center"/>
    </xf>
    <xf numFmtId="0" fontId="10" fillId="0" borderId="9" xfId="0" applyFont="1" applyFill="1" applyBorder="1" applyAlignment="1">
      <alignment horizontal="left" vertical="center"/>
    </xf>
    <xf numFmtId="165" fontId="9" fillId="0" borderId="0" xfId="0" applyNumberFormat="1" applyFont="1" applyFill="1" applyBorder="1" applyAlignment="1">
      <alignment horizontal="center" vertical="center"/>
    </xf>
    <xf numFmtId="0" fontId="12" fillId="0" borderId="6" xfId="0" applyFont="1" applyFill="1" applyBorder="1" applyAlignment="1">
      <alignment horizontal="center" vertical="center"/>
    </xf>
    <xf numFmtId="0" fontId="10" fillId="0" borderId="0" xfId="0" quotePrefix="1" applyFont="1" applyBorder="1" applyAlignment="1">
      <alignment vertical="center"/>
    </xf>
    <xf numFmtId="0" fontId="30" fillId="0" borderId="4" xfId="0" applyFont="1" applyFill="1" applyBorder="1" applyAlignment="1">
      <alignment horizontal="center" vertical="center"/>
    </xf>
    <xf numFmtId="0" fontId="26" fillId="0" borderId="0" xfId="57" applyFont="1" applyFill="1"/>
    <xf numFmtId="0" fontId="12"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25" fillId="0" borderId="8" xfId="0" applyFont="1" applyBorder="1" applyAlignment="1">
      <alignment horizontal="center"/>
    </xf>
    <xf numFmtId="0" fontId="25" fillId="0" borderId="13" xfId="0" applyFont="1" applyBorder="1" applyAlignment="1">
      <alignment horizontal="center"/>
    </xf>
    <xf numFmtId="2" fontId="25" fillId="0" borderId="8" xfId="0" applyNumberFormat="1" applyFont="1" applyBorder="1" applyAlignment="1">
      <alignment horizontal="center"/>
    </xf>
    <xf numFmtId="2" fontId="25" fillId="0" borderId="13" xfId="0" applyNumberFormat="1" applyFont="1" applyBorder="1" applyAlignment="1">
      <alignment horizontal="center"/>
    </xf>
    <xf numFmtId="2" fontId="9" fillId="0" borderId="0" xfId="0" applyNumberFormat="1" applyFont="1" applyFill="1" applyBorder="1" applyAlignment="1">
      <alignment horizontal="center" vertical="center"/>
    </xf>
    <xf numFmtId="49" fontId="12" fillId="0" borderId="6" xfId="0" applyNumberFormat="1" applyFont="1" applyFill="1" applyBorder="1" applyAlignment="1">
      <alignment horizontal="left" vertical="center" wrapText="1"/>
    </xf>
    <xf numFmtId="49" fontId="12" fillId="0" borderId="7" xfId="0" applyNumberFormat="1" applyFont="1" applyFill="1" applyBorder="1" applyAlignment="1">
      <alignment horizontal="left" vertical="center" wrapText="1"/>
    </xf>
    <xf numFmtId="0" fontId="12" fillId="0" borderId="6" xfId="0" quotePrefix="1" applyFont="1" applyBorder="1" applyAlignment="1">
      <alignment horizontal="center" vertical="center"/>
    </xf>
    <xf numFmtId="0" fontId="12" fillId="0" borderId="6" xfId="0" applyFont="1" applyBorder="1" applyAlignment="1">
      <alignment horizontal="left" vertical="center"/>
    </xf>
    <xf numFmtId="0" fontId="12" fillId="0" borderId="6" xfId="0" applyFont="1" applyFill="1" applyBorder="1" applyAlignment="1">
      <alignment horizontal="left" vertical="center"/>
    </xf>
    <xf numFmtId="0" fontId="12" fillId="0" borderId="6" xfId="0" quotePrefix="1" applyFont="1" applyFill="1" applyBorder="1" applyAlignment="1">
      <alignment horizontal="center" vertical="center"/>
    </xf>
    <xf numFmtId="0" fontId="12" fillId="0" borderId="10" xfId="0" applyFont="1" applyBorder="1" applyAlignment="1">
      <alignment horizontal="left" vertical="center"/>
    </xf>
    <xf numFmtId="49" fontId="12" fillId="0" borderId="9" xfId="0" applyNumberFormat="1" applyFont="1" applyFill="1" applyBorder="1" applyAlignment="1">
      <alignment horizontal="left" vertical="center" wrapText="1"/>
    </xf>
    <xf numFmtId="49" fontId="12" fillId="0" borderId="11" xfId="0" applyNumberFormat="1" applyFont="1" applyFill="1" applyBorder="1" applyAlignment="1">
      <alignment horizontal="left" vertical="center" wrapText="1"/>
    </xf>
    <xf numFmtId="0" fontId="9" fillId="0" borderId="4" xfId="0" applyFont="1" applyFill="1" applyBorder="1" applyAlignment="1">
      <alignment horizontal="center" vertical="center"/>
    </xf>
    <xf numFmtId="0" fontId="30" fillId="0" borderId="4" xfId="0" applyFont="1" applyFill="1" applyBorder="1" applyAlignment="1">
      <alignment horizontal="left" vertical="center"/>
    </xf>
    <xf numFmtId="0" fontId="31" fillId="0" borderId="4" xfId="0" applyFont="1" applyFill="1" applyBorder="1" applyAlignment="1">
      <alignment horizontal="center" vertical="center"/>
    </xf>
    <xf numFmtId="0" fontId="9" fillId="0" borderId="9" xfId="0" applyFont="1" applyFill="1" applyBorder="1" applyAlignment="1">
      <alignment horizontal="center" vertical="center"/>
    </xf>
    <xf numFmtId="0" fontId="30" fillId="0" borderId="9" xfId="0" applyFont="1" applyFill="1" applyBorder="1" applyAlignment="1">
      <alignment horizontal="left" vertical="center"/>
    </xf>
    <xf numFmtId="0" fontId="30" fillId="0" borderId="9" xfId="0" applyFont="1" applyFill="1" applyBorder="1" applyAlignment="1">
      <alignment horizontal="center" vertical="center"/>
    </xf>
    <xf numFmtId="0" fontId="31" fillId="0" borderId="9" xfId="0" applyFont="1" applyFill="1" applyBorder="1" applyAlignment="1">
      <alignment horizontal="center" vertical="center"/>
    </xf>
    <xf numFmtId="2" fontId="9" fillId="0" borderId="9" xfId="0" applyNumberFormat="1" applyFont="1" applyFill="1" applyBorder="1" applyAlignment="1">
      <alignment horizontal="center" vertical="center"/>
    </xf>
    <xf numFmtId="0" fontId="0" fillId="0" borderId="4" xfId="0" applyBorder="1"/>
    <xf numFmtId="49" fontId="20" fillId="0" borderId="0" xfId="0" applyNumberFormat="1" applyFont="1" applyBorder="1" applyAlignment="1">
      <alignment horizontal="center" vertical="center" wrapText="1"/>
    </xf>
    <xf numFmtId="165" fontId="10" fillId="0" borderId="0" xfId="0" applyNumberFormat="1" applyFont="1" applyBorder="1"/>
    <xf numFmtId="0" fontId="23" fillId="0" borderId="0" xfId="0" applyFont="1" applyBorder="1" applyAlignment="1">
      <alignment vertical="center"/>
    </xf>
    <xf numFmtId="0" fontId="10" fillId="0" borderId="0" xfId="0" applyFont="1" applyBorder="1" applyAlignment="1">
      <alignment horizontal="left" vertical="top"/>
    </xf>
    <xf numFmtId="0" fontId="12" fillId="0" borderId="3" xfId="0" applyFont="1" applyBorder="1" applyAlignment="1">
      <alignment horizontal="left" vertical="center"/>
    </xf>
    <xf numFmtId="0" fontId="13" fillId="0" borderId="0" xfId="0" applyFont="1" applyFill="1" applyBorder="1" applyAlignment="1">
      <alignment horizontal="center" vertical="center"/>
    </xf>
    <xf numFmtId="2" fontId="13" fillId="0" borderId="0" xfId="0" applyNumberFormat="1" applyFont="1" applyFill="1" applyBorder="1" applyAlignment="1">
      <alignment horizontal="center" vertical="center"/>
    </xf>
    <xf numFmtId="165" fontId="14" fillId="0" borderId="0" xfId="0" applyNumberFormat="1" applyFont="1" applyBorder="1" applyAlignment="1">
      <alignment horizontal="center" vertical="center"/>
    </xf>
    <xf numFmtId="0" fontId="0" fillId="0" borderId="4" xfId="0" applyBorder="1" applyAlignment="1">
      <alignment horizontal="left" vertical="center"/>
    </xf>
    <xf numFmtId="0" fontId="36" fillId="0" borderId="0" xfId="0" applyFont="1" applyBorder="1" applyAlignment="1">
      <alignment horizontal="left"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49" fontId="10" fillId="0" borderId="6" xfId="0" applyNumberFormat="1" applyFont="1" applyBorder="1" applyAlignment="1">
      <alignment horizontal="center" vertical="center"/>
    </xf>
    <xf numFmtId="0" fontId="11" fillId="0" borderId="0" xfId="0" applyFont="1" applyBorder="1" applyAlignment="1">
      <alignment vertical="top"/>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0" fillId="0" borderId="0" xfId="0" applyBorder="1" applyAlignment="1">
      <alignment vertical="center" wrapText="1"/>
    </xf>
    <xf numFmtId="49" fontId="27" fillId="0" borderId="0" xfId="0" applyNumberFormat="1" applyFont="1" applyFill="1" applyBorder="1" applyAlignment="1">
      <alignment horizontal="left" vertical="center" wrapText="1"/>
    </xf>
    <xf numFmtId="165" fontId="13" fillId="0" borderId="0" xfId="0" applyNumberFormat="1" applyFont="1" applyFill="1" applyBorder="1" applyAlignment="1">
      <alignment horizontal="center" vertical="center"/>
    </xf>
    <xf numFmtId="0" fontId="37" fillId="0" borderId="0" xfId="0" applyFont="1" applyFill="1" applyBorder="1" applyAlignment="1">
      <alignment horizontal="center" vertical="center"/>
    </xf>
    <xf numFmtId="16" fontId="40" fillId="3" borderId="0" xfId="0" quotePrefix="1" applyNumberFormat="1" applyFont="1" applyFill="1" applyBorder="1" applyAlignment="1">
      <alignment horizontal="center"/>
    </xf>
    <xf numFmtId="0" fontId="40" fillId="3" borderId="0" xfId="0" quotePrefix="1" applyFont="1" applyFill="1" applyBorder="1" applyAlignment="1">
      <alignment horizontal="center"/>
    </xf>
    <xf numFmtId="0" fontId="10" fillId="4" borderId="0" xfId="0" applyFont="1" applyFill="1"/>
    <xf numFmtId="0" fontId="10" fillId="0" borderId="15" xfId="0" applyFont="1" applyBorder="1" applyAlignment="1">
      <alignment vertical="center"/>
    </xf>
    <xf numFmtId="0" fontId="43" fillId="0" borderId="0" xfId="0" applyFont="1"/>
    <xf numFmtId="2" fontId="29" fillId="3" borderId="0" xfId="0" applyNumberFormat="1" applyFont="1" applyFill="1"/>
    <xf numFmtId="0" fontId="29" fillId="3" borderId="0" xfId="0" applyFont="1" applyFill="1" applyBorder="1" applyAlignment="1">
      <alignment horizontal="left" vertical="center"/>
    </xf>
    <xf numFmtId="0" fontId="29" fillId="3" borderId="0" xfId="0" applyFont="1" applyFill="1" applyBorder="1"/>
    <xf numFmtId="49" fontId="12" fillId="2" borderId="14" xfId="0" applyNumberFormat="1" applyFont="1" applyFill="1" applyBorder="1" applyAlignment="1">
      <alignment vertical="center" wrapText="1"/>
    </xf>
    <xf numFmtId="49" fontId="12" fillId="2" borderId="15" xfId="0" applyNumberFormat="1" applyFont="1" applyFill="1" applyBorder="1" applyAlignment="1">
      <alignment vertical="center" wrapText="1"/>
    </xf>
    <xf numFmtId="49" fontId="12" fillId="2" borderId="15" xfId="0" applyNumberFormat="1" applyFont="1" applyFill="1" applyBorder="1" applyAlignment="1">
      <alignment vertical="center"/>
    </xf>
    <xf numFmtId="0" fontId="10" fillId="0" borderId="0" xfId="0" applyFont="1" applyBorder="1" applyAlignment="1">
      <alignment vertical="center" wrapText="1"/>
    </xf>
    <xf numFmtId="0" fontId="10" fillId="0" borderId="14" xfId="0" applyFont="1" applyBorder="1"/>
    <xf numFmtId="0" fontId="10" fillId="0" borderId="15" xfId="0" applyFont="1" applyBorder="1"/>
    <xf numFmtId="0" fontId="10" fillId="0" borderId="12" xfId="0" applyFont="1" applyBorder="1"/>
    <xf numFmtId="0" fontId="35" fillId="0" borderId="0" xfId="0" applyFont="1" applyBorder="1" applyAlignment="1">
      <alignment vertical="center"/>
    </xf>
    <xf numFmtId="0" fontId="11" fillId="0" borderId="0" xfId="0" applyFont="1" applyBorder="1" applyAlignment="1">
      <alignment vertical="center" wrapText="1"/>
    </xf>
    <xf numFmtId="0" fontId="35" fillId="0" borderId="0" xfId="0" applyFont="1" applyBorder="1" applyAlignment="1">
      <alignment vertical="center" wrapText="1"/>
    </xf>
    <xf numFmtId="2" fontId="10" fillId="0" borderId="0" xfId="0" applyNumberFormat="1" applyFont="1" applyFill="1" applyBorder="1" applyAlignment="1">
      <alignment vertical="center"/>
    </xf>
    <xf numFmtId="0" fontId="47" fillId="0" borderId="0" xfId="0" applyFont="1" applyBorder="1" applyAlignment="1">
      <alignment horizontal="left" vertical="center"/>
    </xf>
    <xf numFmtId="0" fontId="54" fillId="0" borderId="17" xfId="0" applyFont="1" applyBorder="1" applyAlignment="1">
      <alignment horizontal="left" vertical="center"/>
    </xf>
    <xf numFmtId="0" fontId="54" fillId="0" borderId="0" xfId="0" applyFont="1" applyBorder="1" applyAlignment="1">
      <alignment horizontal="left" vertical="center"/>
    </xf>
    <xf numFmtId="0" fontId="54" fillId="0" borderId="0" xfId="0" applyFont="1" applyBorder="1" applyAlignment="1">
      <alignment vertical="center"/>
    </xf>
    <xf numFmtId="0" fontId="54" fillId="0" borderId="1" xfId="0" applyFont="1" applyBorder="1" applyAlignment="1">
      <alignment vertical="center"/>
    </xf>
    <xf numFmtId="0" fontId="54" fillId="0" borderId="17" xfId="0" applyFont="1" applyBorder="1" applyAlignment="1">
      <alignment vertical="center"/>
    </xf>
    <xf numFmtId="0" fontId="54" fillId="0" borderId="0" xfId="0" applyFont="1" applyBorder="1" applyAlignment="1">
      <alignment horizontal="right" vertical="center"/>
    </xf>
    <xf numFmtId="165" fontId="54" fillId="2" borderId="8" xfId="0" applyNumberFormat="1" applyFont="1" applyFill="1" applyBorder="1" applyAlignment="1">
      <alignment horizontal="center" vertical="center"/>
    </xf>
    <xf numFmtId="0" fontId="54" fillId="0" borderId="0" xfId="0" applyFont="1" applyFill="1" applyBorder="1" applyAlignment="1">
      <alignment vertical="center"/>
    </xf>
    <xf numFmtId="0" fontId="54" fillId="2" borderId="8"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6" fillId="2" borderId="19" xfId="0" applyFont="1" applyFill="1" applyBorder="1" applyAlignment="1">
      <alignment vertical="center"/>
    </xf>
    <xf numFmtId="0" fontId="56" fillId="2" borderId="15" xfId="0" applyFont="1" applyFill="1" applyBorder="1" applyAlignment="1">
      <alignment vertical="center"/>
    </xf>
    <xf numFmtId="0" fontId="54" fillId="0" borderId="0" xfId="0" applyFont="1" applyBorder="1" applyAlignment="1">
      <alignment horizontal="center" vertical="center"/>
    </xf>
    <xf numFmtId="0" fontId="54" fillId="0" borderId="17" xfId="0" applyFont="1" applyBorder="1" applyAlignment="1">
      <alignment horizontal="center" vertical="center"/>
    </xf>
    <xf numFmtId="0" fontId="54" fillId="0" borderId="6" xfId="0" applyFont="1" applyBorder="1" applyAlignment="1">
      <alignment vertical="center"/>
    </xf>
    <xf numFmtId="0" fontId="54" fillId="0" borderId="17" xfId="0" applyFont="1" applyFill="1" applyBorder="1" applyAlignment="1">
      <alignment vertical="center"/>
    </xf>
    <xf numFmtId="0" fontId="10" fillId="0" borderId="1" xfId="0" applyFont="1" applyFill="1" applyBorder="1" applyAlignment="1">
      <alignment horizontal="left" vertical="center"/>
    </xf>
    <xf numFmtId="0" fontId="29" fillId="0" borderId="0" xfId="0" applyFont="1"/>
    <xf numFmtId="0" fontId="45" fillId="3" borderId="0" xfId="0" applyFont="1" applyFill="1" applyBorder="1" applyAlignment="1"/>
    <xf numFmtId="0" fontId="10" fillId="3" borderId="0" xfId="0" applyFont="1" applyFill="1" applyBorder="1" applyAlignment="1">
      <alignment horizontal="right"/>
    </xf>
    <xf numFmtId="0" fontId="10" fillId="3" borderId="0" xfId="0" applyFont="1" applyFill="1" applyBorder="1" applyAlignment="1">
      <alignment horizontal="left"/>
    </xf>
    <xf numFmtId="0" fontId="54" fillId="0" borderId="0" xfId="0" applyFont="1" applyFill="1" applyBorder="1" applyAlignment="1">
      <alignment horizontal="center" vertical="center"/>
    </xf>
    <xf numFmtId="1" fontId="54" fillId="0" borderId="0" xfId="0" applyNumberFormat="1" applyFont="1" applyFill="1" applyBorder="1" applyAlignment="1">
      <alignment vertical="center"/>
    </xf>
    <xf numFmtId="0" fontId="10" fillId="0" borderId="6" xfId="0" quotePrefix="1" applyFont="1" applyBorder="1" applyAlignment="1">
      <alignment horizontal="center" vertical="top"/>
    </xf>
    <xf numFmtId="1" fontId="13" fillId="0" borderId="0" xfId="0" applyNumberFormat="1" applyFont="1" applyFill="1" applyBorder="1" applyAlignment="1">
      <alignment vertical="center"/>
    </xf>
    <xf numFmtId="0" fontId="10" fillId="0" borderId="0" xfId="0" quotePrefix="1" applyFont="1" applyBorder="1" applyAlignment="1">
      <alignment horizontal="right" vertical="center"/>
    </xf>
    <xf numFmtId="0" fontId="10" fillId="0" borderId="0" xfId="22" applyFont="1" applyBorder="1" applyAlignment="1">
      <alignment horizontal="center" vertical="center"/>
    </xf>
    <xf numFmtId="0" fontId="11" fillId="0" borderId="0" xfId="22" applyFont="1" applyBorder="1" applyAlignment="1">
      <alignment vertical="center"/>
    </xf>
    <xf numFmtId="0" fontId="10" fillId="0" borderId="17" xfId="0" applyFont="1" applyBorder="1" applyAlignment="1">
      <alignment horizontal="left" vertical="center"/>
    </xf>
    <xf numFmtId="0" fontId="10" fillId="0" borderId="0" xfId="0" applyFont="1" applyBorder="1" applyAlignment="1">
      <alignment vertical="top" wrapText="1"/>
    </xf>
    <xf numFmtId="0" fontId="29" fillId="3" borderId="0" xfId="59" applyFont="1" applyFill="1" applyBorder="1" applyAlignment="1">
      <alignment horizontal="left" vertical="top"/>
    </xf>
    <xf numFmtId="1" fontId="12" fillId="0" borderId="0" xfId="0" applyNumberFormat="1" applyFont="1" applyBorder="1" applyAlignment="1">
      <alignment vertical="center"/>
    </xf>
    <xf numFmtId="165" fontId="10" fillId="0" borderId="0" xfId="0" applyNumberFormat="1" applyFont="1" applyBorder="1" applyAlignment="1">
      <alignment horizontal="left" vertical="center"/>
    </xf>
    <xf numFmtId="0" fontId="54" fillId="0" borderId="1" xfId="0" applyFont="1" applyBorder="1" applyAlignment="1">
      <alignment horizontal="left" vertical="center" wrapText="1"/>
    </xf>
    <xf numFmtId="0" fontId="54" fillId="0" borderId="6" xfId="0" applyFont="1" applyBorder="1" applyAlignment="1">
      <alignment horizontal="center" vertical="center"/>
    </xf>
    <xf numFmtId="0" fontId="29" fillId="3" borderId="0" xfId="8" applyFont="1" applyFill="1"/>
    <xf numFmtId="0" fontId="54" fillId="0" borderId="0" xfId="0" applyFont="1" applyAlignment="1">
      <alignment vertical="center"/>
    </xf>
    <xf numFmtId="0" fontId="55" fillId="0" borderId="0" xfId="0" applyFont="1" applyAlignment="1">
      <alignment vertical="center"/>
    </xf>
    <xf numFmtId="0" fontId="54" fillId="0" borderId="24" xfId="0" applyFont="1" applyBorder="1" applyAlignment="1">
      <alignment vertical="center"/>
    </xf>
    <xf numFmtId="0" fontId="54" fillId="0" borderId="9" xfId="0" applyFont="1" applyBorder="1" applyAlignment="1">
      <alignment vertical="center"/>
    </xf>
    <xf numFmtId="0" fontId="54" fillId="0" borderId="25" xfId="0" applyFont="1" applyBorder="1" applyAlignment="1">
      <alignment vertical="center"/>
    </xf>
    <xf numFmtId="0" fontId="55" fillId="0" borderId="0" xfId="0" applyFont="1" applyBorder="1" applyAlignment="1">
      <alignment vertical="center"/>
    </xf>
    <xf numFmtId="0" fontId="54" fillId="0" borderId="11" xfId="0" applyFont="1" applyBorder="1" applyAlignment="1">
      <alignment vertical="center"/>
    </xf>
    <xf numFmtId="0" fontId="54" fillId="0" borderId="10" xfId="0" applyFont="1" applyFill="1" applyBorder="1" applyAlignment="1">
      <alignment vertical="center"/>
    </xf>
    <xf numFmtId="0" fontId="54" fillId="0" borderId="7" xfId="0" applyFont="1" applyBorder="1" applyAlignment="1">
      <alignment vertical="center"/>
    </xf>
    <xf numFmtId="0" fontId="54" fillId="0" borderId="6" xfId="0" applyFont="1" applyFill="1" applyBorder="1" applyAlignment="1">
      <alignment vertical="center"/>
    </xf>
    <xf numFmtId="0" fontId="55" fillId="0" borderId="1" xfId="0" applyFont="1" applyBorder="1" applyAlignment="1">
      <alignment vertical="center"/>
    </xf>
    <xf numFmtId="0" fontId="54" fillId="0" borderId="26" xfId="0" applyFont="1" applyBorder="1" applyAlignment="1">
      <alignment vertical="center"/>
    </xf>
    <xf numFmtId="0" fontId="54" fillId="0" borderId="4" xfId="0" applyFont="1" applyBorder="1" applyAlignment="1">
      <alignment vertical="center"/>
    </xf>
    <xf numFmtId="0" fontId="54" fillId="0" borderId="5" xfId="0" applyFont="1" applyBorder="1" applyAlignment="1">
      <alignment vertical="center"/>
    </xf>
    <xf numFmtId="0" fontId="54" fillId="0" borderId="3" xfId="0" applyFont="1" applyBorder="1" applyAlignment="1">
      <alignment vertical="center"/>
    </xf>
    <xf numFmtId="0" fontId="54" fillId="0" borderId="27" xfId="0" applyFont="1" applyBorder="1" applyAlignment="1">
      <alignment vertical="center"/>
    </xf>
    <xf numFmtId="0" fontId="56" fillId="2" borderId="28" xfId="0" applyFont="1" applyFill="1" applyBorder="1" applyAlignment="1">
      <alignment vertical="center"/>
    </xf>
    <xf numFmtId="0" fontId="57" fillId="0" borderId="0" xfId="0" applyFont="1" applyAlignment="1">
      <alignment vertical="center"/>
    </xf>
    <xf numFmtId="0" fontId="39" fillId="0" borderId="6" xfId="0" applyFont="1" applyBorder="1" applyAlignment="1">
      <alignment vertical="center"/>
    </xf>
    <xf numFmtId="0" fontId="33" fillId="0" borderId="0" xfId="0" applyFont="1" applyBorder="1" applyAlignment="1">
      <alignment vertical="center"/>
    </xf>
    <xf numFmtId="0" fontId="54" fillId="0" borderId="1" xfId="0" applyFont="1" applyFill="1" applyBorder="1" applyAlignment="1">
      <alignment vertical="center"/>
    </xf>
    <xf numFmtId="0" fontId="58" fillId="0" borderId="0" xfId="0" applyFont="1" applyBorder="1" applyAlignment="1">
      <alignment vertical="center"/>
    </xf>
    <xf numFmtId="0" fontId="54" fillId="0" borderId="16" xfId="0" applyFont="1" applyBorder="1" applyAlignment="1">
      <alignment vertical="center"/>
    </xf>
    <xf numFmtId="0" fontId="54" fillId="0" borderId="2" xfId="0" applyFont="1" applyBorder="1" applyAlignment="1">
      <alignment vertical="center"/>
    </xf>
    <xf numFmtId="0" fontId="54" fillId="0" borderId="18" xfId="0" applyFont="1" applyBorder="1" applyAlignment="1">
      <alignment vertical="center"/>
    </xf>
    <xf numFmtId="1" fontId="29" fillId="3" borderId="0" xfId="0" applyNumberFormat="1" applyFont="1" applyFill="1" applyAlignment="1">
      <alignment horizontal="center"/>
    </xf>
    <xf numFmtId="2" fontId="29" fillId="3" borderId="0" xfId="0" applyNumberFormat="1" applyFont="1" applyFill="1" applyBorder="1" applyAlignment="1">
      <alignment horizontal="center"/>
    </xf>
    <xf numFmtId="2" fontId="29" fillId="3" borderId="0" xfId="0" applyNumberFormat="1" applyFont="1" applyFill="1" applyBorder="1" applyAlignment="1">
      <alignment horizontal="center" vertical="center"/>
    </xf>
    <xf numFmtId="0" fontId="29" fillId="3" borderId="0" xfId="0" applyFont="1" applyFill="1"/>
    <xf numFmtId="0" fontId="29" fillId="3" borderId="0" xfId="56" applyFont="1" applyFill="1" applyBorder="1" applyAlignment="1">
      <alignment horizontal="left" vertical="center"/>
    </xf>
    <xf numFmtId="0" fontId="29" fillId="3" borderId="0" xfId="0" applyFont="1" applyFill="1" applyBorder="1" applyAlignment="1">
      <alignment horizontal="center"/>
    </xf>
    <xf numFmtId="0" fontId="29" fillId="3" borderId="0" xfId="56" applyFont="1" applyFill="1" applyBorder="1" applyAlignment="1">
      <alignment horizontal="left" vertical="top"/>
    </xf>
    <xf numFmtId="0" fontId="29" fillId="3" borderId="0" xfId="59" applyFont="1" applyFill="1" applyBorder="1" applyAlignment="1">
      <alignment horizontal="left" vertical="center"/>
    </xf>
    <xf numFmtId="0" fontId="29" fillId="3" borderId="0" xfId="8" applyFont="1" applyFill="1" applyBorder="1"/>
    <xf numFmtId="2" fontId="29" fillId="3" borderId="0" xfId="0" applyNumberFormat="1" applyFont="1" applyFill="1" applyAlignment="1">
      <alignment horizontal="center"/>
    </xf>
    <xf numFmtId="165" fontId="29" fillId="3" borderId="0" xfId="52" applyNumberFormat="1" applyFont="1" applyFill="1"/>
    <xf numFmtId="0" fontId="29" fillId="3" borderId="0" xfId="59" applyFont="1" applyFill="1" applyBorder="1" applyAlignment="1">
      <alignment horizontal="left" vertical="center" wrapText="1"/>
    </xf>
    <xf numFmtId="0" fontId="29" fillId="3" borderId="0" xfId="0" quotePrefix="1" applyFont="1" applyFill="1" applyBorder="1" applyAlignment="1">
      <alignment horizontal="center"/>
    </xf>
    <xf numFmtId="0" fontId="29" fillId="3" borderId="0" xfId="0" quotePrefix="1" applyFont="1" applyFill="1" applyAlignment="1">
      <alignment horizontal="center"/>
    </xf>
    <xf numFmtId="165" fontId="29" fillId="0" borderId="0" xfId="52" applyNumberFormat="1" applyFont="1"/>
    <xf numFmtId="1" fontId="29" fillId="3" borderId="0" xfId="0" applyNumberFormat="1" applyFont="1" applyFill="1" applyBorder="1" applyAlignment="1">
      <alignment horizontal="center" vertical="center"/>
    </xf>
    <xf numFmtId="165" fontId="29" fillId="3" borderId="0" xfId="0" applyNumberFormat="1" applyFont="1" applyFill="1"/>
    <xf numFmtId="1" fontId="29" fillId="3" borderId="0" xfId="0" applyNumberFormat="1" applyFont="1" applyFill="1" applyBorder="1" applyAlignment="1">
      <alignment horizontal="center"/>
    </xf>
    <xf numFmtId="0" fontId="29" fillId="3" borderId="0" xfId="58" applyFont="1" applyFill="1"/>
    <xf numFmtId="165" fontId="29" fillId="3" borderId="0" xfId="0" applyNumberFormat="1" applyFont="1" applyFill="1" applyBorder="1"/>
    <xf numFmtId="0" fontId="29" fillId="0" borderId="0" xfId="0" applyFont="1" applyAlignment="1"/>
    <xf numFmtId="165" fontId="61" fillId="3" borderId="0" xfId="0" applyNumberFormat="1" applyFont="1" applyFill="1"/>
    <xf numFmtId="0" fontId="61" fillId="0" borderId="0" xfId="0" applyFont="1"/>
    <xf numFmtId="49" fontId="29" fillId="0" borderId="0" xfId="0" quotePrefix="1" applyNumberFormat="1" applyFont="1"/>
    <xf numFmtId="0" fontId="29" fillId="0" borderId="0" xfId="0" quotePrefix="1" applyFont="1"/>
    <xf numFmtId="0" fontId="62" fillId="4" borderId="0" xfId="0" applyFont="1" applyFill="1"/>
    <xf numFmtId="0" fontId="10" fillId="0" borderId="0" xfId="0" quotePrefix="1" applyFont="1"/>
    <xf numFmtId="2" fontId="29" fillId="3" borderId="0" xfId="48" applyNumberFormat="1" applyFont="1" applyFill="1" applyAlignment="1">
      <alignment horizontal="center"/>
    </xf>
    <xf numFmtId="0" fontId="29" fillId="3" borderId="0" xfId="57" applyFont="1" applyFill="1"/>
    <xf numFmtId="0" fontId="29" fillId="3" borderId="0" xfId="48" applyFont="1" applyFill="1"/>
    <xf numFmtId="165" fontId="29" fillId="3" borderId="0" xfId="57" applyNumberFormat="1" applyFont="1" applyFill="1"/>
    <xf numFmtId="0" fontId="12"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10" fillId="2" borderId="12" xfId="0" applyFont="1" applyFill="1" applyBorder="1" applyAlignment="1">
      <alignment horizontal="right" vertical="center"/>
    </xf>
    <xf numFmtId="0" fontId="45" fillId="2" borderId="14" xfId="0" applyFont="1" applyFill="1" applyBorder="1" applyAlignment="1"/>
    <xf numFmtId="0" fontId="45" fillId="2" borderId="15" xfId="0" applyFont="1" applyFill="1" applyBorder="1" applyAlignment="1"/>
    <xf numFmtId="0" fontId="46" fillId="2" borderId="12" xfId="0" applyFont="1" applyFill="1" applyBorder="1" applyAlignment="1">
      <alignment horizontal="right"/>
    </xf>
    <xf numFmtId="0" fontId="39" fillId="0" borderId="0" xfId="0" applyFont="1" applyBorder="1" applyAlignment="1">
      <alignment horizontal="left" vertical="center"/>
    </xf>
    <xf numFmtId="0" fontId="0" fillId="0" borderId="5" xfId="0" applyBorder="1"/>
    <xf numFmtId="0" fontId="29" fillId="3" borderId="0" xfId="0" quotePrefix="1" applyNumberFormat="1" applyFont="1" applyFill="1" applyBorder="1" applyAlignment="1">
      <alignment horizontal="right"/>
    </xf>
    <xf numFmtId="49" fontId="20" fillId="0" borderId="0" xfId="0" applyNumberFormat="1" applyFont="1" applyBorder="1" applyAlignment="1">
      <alignment horizontal="left" vertical="center" wrapText="1"/>
    </xf>
    <xf numFmtId="49" fontId="27" fillId="0" borderId="7" xfId="0" applyNumberFormat="1" applyFont="1" applyFill="1" applyBorder="1" applyAlignment="1">
      <alignment horizontal="left" vertical="center" wrapText="1"/>
    </xf>
    <xf numFmtId="0" fontId="15" fillId="0" borderId="7" xfId="0" applyFont="1" applyBorder="1" applyAlignment="1">
      <alignment horizontal="center" vertical="center"/>
    </xf>
    <xf numFmtId="0" fontId="30" fillId="0" borderId="11" xfId="0" applyFont="1" applyFill="1" applyBorder="1" applyAlignment="1">
      <alignment horizontal="left" vertical="center"/>
    </xf>
    <xf numFmtId="0" fontId="12" fillId="0" borderId="5" xfId="0" applyFont="1" applyFill="1" applyBorder="1" applyAlignment="1">
      <alignment horizontal="center" vertical="center"/>
    </xf>
    <xf numFmtId="0" fontId="10" fillId="0" borderId="12" xfId="0" applyFont="1" applyBorder="1" applyAlignment="1">
      <alignment vertical="center"/>
    </xf>
    <xf numFmtId="0" fontId="10" fillId="0" borderId="9" xfId="0" applyFont="1" applyBorder="1" applyAlignment="1">
      <alignment horizontal="center" vertical="center"/>
    </xf>
    <xf numFmtId="0" fontId="60" fillId="0" borderId="9" xfId="0" applyFont="1" applyBorder="1" applyAlignment="1">
      <alignment vertical="center" wrapText="1"/>
    </xf>
    <xf numFmtId="0" fontId="14" fillId="0" borderId="4" xfId="0" applyFont="1" applyFill="1" applyBorder="1" applyAlignment="1">
      <alignment horizontal="center" vertical="center"/>
    </xf>
    <xf numFmtId="165" fontId="9" fillId="0" borderId="4" xfId="0" applyNumberFormat="1" applyFont="1" applyFill="1" applyBorder="1" applyAlignment="1">
      <alignment horizontal="center" vertical="center"/>
    </xf>
    <xf numFmtId="167" fontId="12" fillId="0" borderId="4" xfId="0" applyNumberFormat="1" applyFont="1" applyFill="1" applyBorder="1" applyAlignment="1">
      <alignment horizontal="center" vertical="center"/>
    </xf>
    <xf numFmtId="0" fontId="11" fillId="0" borderId="4" xfId="0" applyFont="1" applyFill="1" applyBorder="1" applyAlignment="1">
      <alignment horizontal="left" vertical="center"/>
    </xf>
    <xf numFmtId="0" fontId="63" fillId="0" borderId="0" xfId="0" applyFont="1"/>
    <xf numFmtId="0" fontId="10" fillId="0" borderId="0" xfId="0" applyFont="1" applyFill="1" applyBorder="1" applyAlignment="1" applyProtection="1">
      <alignment horizontal="left" vertical="center"/>
    </xf>
    <xf numFmtId="0" fontId="10" fillId="0" borderId="0" xfId="0" quotePrefix="1" applyFont="1" applyBorder="1" applyAlignment="1">
      <alignment horizontal="left" vertical="center"/>
    </xf>
    <xf numFmtId="0" fontId="12" fillId="2" borderId="0" xfId="0" applyFont="1" applyFill="1" applyBorder="1" applyAlignment="1">
      <alignment horizontal="left" vertical="center"/>
    </xf>
    <xf numFmtId="0" fontId="10" fillId="2" borderId="0" xfId="0" applyFont="1" applyFill="1" applyBorder="1" applyAlignment="1">
      <alignment horizontal="right" vertical="center"/>
    </xf>
    <xf numFmtId="0" fontId="54" fillId="5" borderId="8" xfId="0" applyFont="1" applyFill="1" applyBorder="1" applyAlignment="1" applyProtection="1">
      <alignment horizontal="center" vertical="center"/>
      <protection locked="0"/>
    </xf>
    <xf numFmtId="0" fontId="10" fillId="6" borderId="0" xfId="0" applyFont="1" applyFill="1"/>
    <xf numFmtId="0" fontId="66" fillId="0" borderId="0" xfId="0" applyFont="1"/>
    <xf numFmtId="0" fontId="10" fillId="0" borderId="2" xfId="0" applyFont="1" applyFill="1" applyBorder="1" applyAlignment="1">
      <alignment horizontal="left" vertical="center"/>
    </xf>
    <xf numFmtId="0" fontId="10" fillId="0" borderId="0" xfId="0" applyFont="1" applyFill="1" applyBorder="1" applyAlignment="1">
      <alignment horizontal="center" vertical="center" wrapText="1"/>
    </xf>
    <xf numFmtId="0" fontId="10" fillId="0" borderId="1" xfId="0" applyFont="1" applyBorder="1" applyAlignment="1">
      <alignment horizontal="left" vertical="center"/>
    </xf>
    <xf numFmtId="1" fontId="10"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left" vertical="center" wrapText="1"/>
    </xf>
    <xf numFmtId="0" fontId="48" fillId="0" borderId="0" xfId="0" applyFont="1" applyBorder="1" applyAlignment="1" applyProtection="1">
      <alignment horizontal="left" vertical="center"/>
    </xf>
    <xf numFmtId="49" fontId="12" fillId="0" borderId="0" xfId="0" applyNumberFormat="1" applyFont="1" applyFill="1" applyBorder="1" applyAlignment="1" applyProtection="1">
      <alignment horizontal="left" vertical="center" wrapText="1"/>
    </xf>
    <xf numFmtId="169" fontId="40" fillId="0" borderId="7" xfId="0" applyNumberFormat="1" applyFont="1" applyFill="1" applyBorder="1" applyAlignment="1" applyProtection="1">
      <alignment horizontal="left" vertical="center" wrapText="1"/>
      <protection hidden="1"/>
    </xf>
    <xf numFmtId="49" fontId="27" fillId="0" borderId="0" xfId="0" applyNumberFormat="1" applyFont="1" applyFill="1" applyBorder="1" applyAlignment="1" applyProtection="1">
      <alignment horizontal="left" vertical="center" wrapText="1"/>
    </xf>
    <xf numFmtId="0" fontId="12"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12" fillId="2" borderId="21" xfId="0" applyFont="1" applyFill="1" applyBorder="1" applyAlignment="1">
      <alignment horizontal="left" vertical="center"/>
    </xf>
    <xf numFmtId="0" fontId="10" fillId="2" borderId="23" xfId="0" applyFont="1" applyFill="1" applyBorder="1" applyAlignment="1">
      <alignment horizontal="right" vertical="center"/>
    </xf>
    <xf numFmtId="0" fontId="12" fillId="0" borderId="24" xfId="0" applyFont="1" applyFill="1" applyBorder="1" applyAlignment="1">
      <alignment horizontal="left" vertical="center"/>
    </xf>
    <xf numFmtId="0" fontId="12" fillId="0" borderId="25" xfId="0" applyFont="1" applyFill="1" applyBorder="1" applyAlignment="1">
      <alignment horizontal="left" vertical="center"/>
    </xf>
    <xf numFmtId="0" fontId="10" fillId="0" borderId="17" xfId="0" quotePrefix="1" applyFont="1" applyFill="1" applyBorder="1" applyAlignment="1">
      <alignment horizontal="left" vertical="center"/>
    </xf>
    <xf numFmtId="0" fontId="12" fillId="0" borderId="17" xfId="0" applyFont="1" applyFill="1" applyBorder="1" applyAlignment="1">
      <alignment horizontal="left" vertical="center"/>
    </xf>
    <xf numFmtId="0" fontId="12" fillId="0" borderId="1" xfId="0" applyFont="1" applyFill="1" applyBorder="1" applyAlignment="1">
      <alignment horizontal="left" vertical="center"/>
    </xf>
    <xf numFmtId="0" fontId="10" fillId="0" borderId="17" xfId="0" quotePrefix="1" applyFont="1" applyBorder="1" applyAlignment="1">
      <alignment horizontal="left"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1" fillId="0" borderId="1" xfId="0" applyFont="1" applyBorder="1" applyAlignment="1">
      <alignment vertical="top"/>
    </xf>
    <xf numFmtId="0" fontId="10" fillId="0" borderId="17" xfId="0" applyFont="1" applyFill="1" applyBorder="1" applyAlignment="1">
      <alignment horizontal="center" vertical="center"/>
    </xf>
    <xf numFmtId="0" fontId="10" fillId="0" borderId="26" xfId="0" applyFont="1" applyBorder="1" applyAlignment="1">
      <alignment horizontal="left" vertical="center"/>
    </xf>
    <xf numFmtId="0" fontId="10" fillId="0" borderId="27" xfId="0" applyFont="1" applyBorder="1" applyAlignment="1">
      <alignment horizontal="center" vertical="center"/>
    </xf>
    <xf numFmtId="0" fontId="10" fillId="0" borderId="17" xfId="0" quotePrefix="1" applyFont="1" applyBorder="1" applyAlignment="1">
      <alignment horizontal="center" vertical="center"/>
    </xf>
    <xf numFmtId="0" fontId="10" fillId="0" borderId="17" xfId="0" quotePrefix="1" applyFont="1" applyFill="1" applyBorder="1" applyAlignment="1">
      <alignment horizontal="center" vertical="center"/>
    </xf>
    <xf numFmtId="0" fontId="10" fillId="0" borderId="1" xfId="0" applyFont="1" applyFill="1" applyBorder="1" applyAlignment="1">
      <alignment horizontal="center" vertical="center"/>
    </xf>
    <xf numFmtId="0" fontId="10" fillId="0" borderId="26" xfId="0" quotePrefix="1" applyFont="1" applyFill="1" applyBorder="1" applyAlignment="1">
      <alignment horizontal="center" vertical="center"/>
    </xf>
    <xf numFmtId="0" fontId="10" fillId="0" borderId="27" xfId="0" applyFont="1" applyFill="1" applyBorder="1" applyAlignment="1">
      <alignment horizontal="left" vertical="center"/>
    </xf>
    <xf numFmtId="0" fontId="10" fillId="0" borderId="25" xfId="0" applyFont="1" applyBorder="1" applyAlignment="1">
      <alignment horizontal="left" vertical="center"/>
    </xf>
    <xf numFmtId="0" fontId="10" fillId="0" borderId="17" xfId="0" applyFont="1" applyBorder="1" applyAlignment="1">
      <alignment horizontal="right" vertical="center"/>
    </xf>
    <xf numFmtId="0" fontId="10" fillId="0" borderId="18" xfId="0" applyFont="1" applyFill="1" applyBorder="1" applyAlignment="1">
      <alignment horizontal="left" vertical="center"/>
    </xf>
    <xf numFmtId="0" fontId="12" fillId="0" borderId="17" xfId="0" applyFont="1" applyFill="1" applyBorder="1" applyAlignment="1" applyProtection="1">
      <alignment horizontal="left" vertical="center"/>
    </xf>
    <xf numFmtId="0" fontId="10" fillId="0" borderId="1" xfId="0" applyFont="1" applyBorder="1" applyAlignment="1" applyProtection="1">
      <alignment horizontal="left" vertical="center"/>
    </xf>
    <xf numFmtId="0" fontId="10" fillId="0" borderId="0" xfId="0" applyFont="1" applyBorder="1" applyAlignment="1">
      <alignment vertical="center"/>
    </xf>
    <xf numFmtId="0" fontId="12" fillId="0" borderId="0" xfId="0" applyFont="1" applyFill="1" applyBorder="1" applyAlignment="1">
      <alignment horizontal="center" vertical="center"/>
    </xf>
    <xf numFmtId="49" fontId="24" fillId="0" borderId="4" xfId="0" applyNumberFormat="1" applyFont="1" applyBorder="1" applyAlignment="1">
      <alignment vertical="center" wrapText="1"/>
    </xf>
    <xf numFmtId="0" fontId="10" fillId="0" borderId="33" xfId="0" applyFont="1" applyBorder="1" applyAlignment="1">
      <alignment horizontal="left" vertical="center"/>
    </xf>
    <xf numFmtId="0" fontId="12" fillId="0" borderId="24" xfId="0" applyFont="1" applyBorder="1" applyAlignment="1">
      <alignment horizontal="right" vertical="center"/>
    </xf>
    <xf numFmtId="0" fontId="10" fillId="0" borderId="16" xfId="0" applyFont="1" applyFill="1" applyBorder="1" applyAlignment="1">
      <alignment horizontal="center" vertical="center"/>
    </xf>
    <xf numFmtId="1" fontId="9"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165" fontId="9" fillId="0" borderId="2" xfId="0" applyNumberFormat="1" applyFont="1" applyFill="1" applyBorder="1" applyAlignment="1">
      <alignment horizontal="center" vertical="center"/>
    </xf>
    <xf numFmtId="165" fontId="14" fillId="0" borderId="2" xfId="0" applyNumberFormat="1" applyFont="1" applyFill="1" applyBorder="1" applyAlignment="1">
      <alignment horizontal="center" vertical="center"/>
    </xf>
    <xf numFmtId="0" fontId="12" fillId="0" borderId="0" xfId="0" applyFont="1" applyFill="1" applyBorder="1" applyAlignment="1">
      <alignment horizontal="left" vertical="center"/>
    </xf>
    <xf numFmtId="0" fontId="10" fillId="10" borderId="0" xfId="0" applyFont="1" applyFill="1"/>
    <xf numFmtId="0" fontId="12" fillId="0" borderId="0" xfId="0" applyFont="1" applyFill="1" applyBorder="1" applyAlignment="1">
      <alignment horizontal="left" vertical="center"/>
    </xf>
    <xf numFmtId="0" fontId="12" fillId="10" borderId="0" xfId="0" applyFont="1" applyFill="1"/>
    <xf numFmtId="0" fontId="10" fillId="0" borderId="0" xfId="22" applyFont="1" applyBorder="1"/>
    <xf numFmtId="0" fontId="10" fillId="0" borderId="0" xfId="0" applyFont="1" applyBorder="1" applyAlignment="1" applyProtection="1">
      <alignment horizontal="left" vertical="center"/>
    </xf>
    <xf numFmtId="0" fontId="0" fillId="0" borderId="0" xfId="0" applyBorder="1" applyAlignment="1">
      <alignment vertical="center"/>
    </xf>
    <xf numFmtId="0" fontId="0" fillId="0" borderId="1" xfId="0" applyBorder="1" applyAlignment="1">
      <alignment vertical="center"/>
    </xf>
    <xf numFmtId="0" fontId="10" fillId="0" borderId="0" xfId="0" applyFont="1" applyBorder="1" applyAlignment="1">
      <alignment horizontal="right" vertical="center"/>
    </xf>
    <xf numFmtId="0" fontId="1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0" fillId="0" borderId="0" xfId="0" applyFont="1" applyBorder="1" applyAlignment="1">
      <alignment horizontal="center" vertical="center"/>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10" fillId="0" borderId="0" xfId="0" quotePrefix="1" applyFont="1" applyBorder="1" applyAlignment="1">
      <alignment horizontal="center" vertical="center"/>
    </xf>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0" fontId="10" fillId="0" borderId="4" xfId="0" applyFont="1" applyBorder="1" applyAlignment="1">
      <alignment horizontal="center" vertical="center"/>
    </xf>
    <xf numFmtId="0" fontId="12" fillId="2" borderId="15" xfId="0" applyFont="1" applyFill="1" applyBorder="1" applyAlignment="1">
      <alignment horizontal="left" vertical="center"/>
    </xf>
    <xf numFmtId="0" fontId="14" fillId="0" borderId="0" xfId="0" applyFont="1" applyBorder="1" applyAlignment="1">
      <alignment horizontal="left" vertical="center"/>
    </xf>
    <xf numFmtId="0" fontId="12" fillId="2" borderId="19"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22" xfId="0" applyFont="1" applyFill="1" applyBorder="1" applyAlignment="1">
      <alignment horizontal="left" vertical="center"/>
    </xf>
    <xf numFmtId="0" fontId="12" fillId="0" borderId="0" xfId="0" applyFont="1" applyFill="1" applyBorder="1" applyAlignment="1">
      <alignment horizontal="left" vertical="center"/>
    </xf>
    <xf numFmtId="0" fontId="10" fillId="0" borderId="0" xfId="0" applyFont="1" applyFill="1" applyBorder="1" applyAlignment="1" applyProtection="1">
      <alignment horizontal="center" vertical="center"/>
    </xf>
    <xf numFmtId="0" fontId="10" fillId="0" borderId="0" xfId="0" quotePrefix="1" applyFont="1" applyFill="1" applyBorder="1" applyAlignment="1">
      <alignment horizontal="center" vertical="center"/>
    </xf>
    <xf numFmtId="49" fontId="12" fillId="2" borderId="22" xfId="0" applyNumberFormat="1" applyFont="1" applyFill="1" applyBorder="1" applyAlignment="1">
      <alignment vertical="center" wrapText="1"/>
    </xf>
    <xf numFmtId="0" fontId="10" fillId="0" borderId="0" xfId="0" applyFont="1" applyBorder="1" applyAlignment="1">
      <alignment horizontal="left" vertical="center"/>
    </xf>
    <xf numFmtId="0" fontId="10" fillId="0" borderId="0" xfId="0" applyFont="1" applyFill="1" applyBorder="1" applyAlignment="1">
      <alignment horizontal="left" vertical="center"/>
    </xf>
    <xf numFmtId="0" fontId="10" fillId="11" borderId="0" xfId="0" applyFont="1" applyFill="1"/>
    <xf numFmtId="49" fontId="12" fillId="2" borderId="22" xfId="0" applyNumberFormat="1" applyFont="1" applyFill="1" applyBorder="1" applyAlignment="1" applyProtection="1">
      <alignment vertical="center" wrapText="1"/>
    </xf>
    <xf numFmtId="0" fontId="12" fillId="12" borderId="0" xfId="0" applyFont="1" applyFill="1"/>
    <xf numFmtId="0" fontId="10" fillId="8" borderId="14" xfId="0" applyFont="1" applyFill="1" applyBorder="1" applyAlignment="1">
      <alignment horizontal="center" vertical="center"/>
    </xf>
    <xf numFmtId="0" fontId="10" fillId="8" borderId="1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xf>
    <xf numFmtId="0" fontId="11" fillId="0" borderId="0" xfId="0" applyFont="1" applyFill="1" applyBorder="1" applyAlignment="1">
      <alignment horizontal="left" vertical="center"/>
    </xf>
    <xf numFmtId="164" fontId="10" fillId="0" borderId="7" xfId="0" applyNumberFormat="1" applyFont="1" applyFill="1" applyBorder="1" applyAlignment="1">
      <alignment horizontal="center"/>
    </xf>
    <xf numFmtId="0" fontId="10" fillId="0" borderId="0" xfId="0" applyFont="1" applyBorder="1" applyAlignment="1">
      <alignment horizontal="center" vertical="center"/>
    </xf>
    <xf numFmtId="0" fontId="12" fillId="0" borderId="0" xfId="0" applyFont="1" applyFill="1" applyBorder="1" applyAlignment="1">
      <alignment horizontal="center" wrapText="1"/>
    </xf>
    <xf numFmtId="0" fontId="12" fillId="0" borderId="7" xfId="0" applyFont="1" applyFill="1" applyBorder="1" applyAlignment="1">
      <alignment horizontal="center" wrapText="1"/>
    </xf>
    <xf numFmtId="0" fontId="10" fillId="0" borderId="0" xfId="0" applyFont="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vertical="center" wrapText="1"/>
    </xf>
    <xf numFmtId="0" fontId="10" fillId="0" borderId="6" xfId="0" quotePrefix="1" applyFont="1" applyBorder="1" applyAlignment="1">
      <alignment horizontal="center" vertical="center"/>
    </xf>
    <xf numFmtId="0" fontId="10" fillId="0" borderId="6" xfId="0" applyFont="1" applyBorder="1" applyAlignment="1">
      <alignment horizontal="center" vertical="center"/>
    </xf>
    <xf numFmtId="0" fontId="0" fillId="0" borderId="7" xfId="0" applyBorder="1" applyAlignment="1">
      <alignment vertical="center"/>
    </xf>
    <xf numFmtId="0" fontId="10" fillId="0" borderId="0" xfId="0" quotePrefix="1" applyFont="1" applyBorder="1" applyAlignment="1">
      <alignment horizontal="center" vertical="center"/>
    </xf>
    <xf numFmtId="0" fontId="10" fillId="0" borderId="0" xfId="0" applyFont="1"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Fill="1" applyBorder="1" applyAlignment="1">
      <alignment horizontal="left" vertical="center"/>
    </xf>
    <xf numFmtId="0" fontId="12" fillId="0" borderId="0" xfId="0" applyFont="1" applyFill="1" applyBorder="1" applyAlignment="1">
      <alignment horizontal="left" vertical="center"/>
    </xf>
    <xf numFmtId="0" fontId="0" fillId="0" borderId="0" xfId="0" applyBorder="1" applyAlignment="1"/>
    <xf numFmtId="0" fontId="10" fillId="0" borderId="10" xfId="0" quotePrefix="1" applyFont="1" applyBorder="1" applyAlignment="1">
      <alignment horizontal="center" vertical="center"/>
    </xf>
    <xf numFmtId="0" fontId="10" fillId="0" borderId="4" xfId="0" applyFont="1" applyFill="1" applyBorder="1" applyAlignment="1">
      <alignment horizontal="center"/>
    </xf>
    <xf numFmtId="0" fontId="12" fillId="0" borderId="4" xfId="0" applyFont="1" applyFill="1" applyBorder="1" applyAlignment="1">
      <alignment horizontal="center" wrapText="1"/>
    </xf>
    <xf numFmtId="0" fontId="12" fillId="0" borderId="5" xfId="0" applyFont="1" applyFill="1" applyBorder="1" applyAlignment="1">
      <alignment horizontal="center" wrapText="1"/>
    </xf>
    <xf numFmtId="0" fontId="45" fillId="3" borderId="10" xfId="0" applyFont="1" applyFill="1" applyBorder="1" applyAlignment="1"/>
    <xf numFmtId="0" fontId="45" fillId="3" borderId="9" xfId="0" applyFont="1" applyFill="1" applyBorder="1" applyAlignment="1"/>
    <xf numFmtId="0" fontId="10" fillId="3" borderId="9" xfId="0" applyFont="1" applyFill="1" applyBorder="1" applyAlignment="1">
      <alignment horizontal="right"/>
    </xf>
    <xf numFmtId="0" fontId="10" fillId="3" borderId="9" xfId="0" applyFont="1" applyFill="1" applyBorder="1" applyAlignment="1">
      <alignment horizontal="left"/>
    </xf>
    <xf numFmtId="0" fontId="45" fillId="3" borderId="11" xfId="0" applyFont="1" applyFill="1" applyBorder="1" applyAlignment="1"/>
    <xf numFmtId="0" fontId="64" fillId="0" borderId="0" xfId="0" applyFont="1" applyFill="1" applyBorder="1" applyAlignment="1">
      <alignment horizontal="left" vertical="center"/>
    </xf>
    <xf numFmtId="0" fontId="12" fillId="0" borderId="0" xfId="0" applyFont="1"/>
    <xf numFmtId="0" fontId="54" fillId="0" borderId="0" xfId="0" applyFont="1" applyFill="1" applyBorder="1" applyAlignment="1">
      <alignment horizontal="center" vertical="center"/>
    </xf>
    <xf numFmtId="0" fontId="56" fillId="2" borderId="21" xfId="0" applyFont="1" applyFill="1" applyBorder="1" applyAlignment="1">
      <alignment vertical="center"/>
    </xf>
    <xf numFmtId="170" fontId="54" fillId="0" borderId="0" xfId="0" applyNumberFormat="1" applyFont="1" applyFill="1" applyBorder="1" applyAlignment="1">
      <alignment horizontal="center" vertical="center"/>
    </xf>
    <xf numFmtId="0" fontId="39" fillId="0" borderId="17" xfId="0" applyFont="1" applyBorder="1" applyAlignment="1">
      <alignment horizontal="center" vertical="center"/>
    </xf>
    <xf numFmtId="0" fontId="39" fillId="0" borderId="0" xfId="0" applyFont="1" applyFill="1" applyBorder="1" applyAlignment="1">
      <alignment vertical="center"/>
    </xf>
    <xf numFmtId="0" fontId="39" fillId="0" borderId="0" xfId="0" applyFont="1" applyFill="1" applyBorder="1" applyAlignment="1">
      <alignment horizontal="left" vertical="center"/>
    </xf>
    <xf numFmtId="0" fontId="56" fillId="2" borderId="22" xfId="0" applyFont="1" applyFill="1" applyBorder="1" applyAlignment="1">
      <alignment vertical="center"/>
    </xf>
    <xf numFmtId="0" fontId="39" fillId="0" borderId="0" xfId="0" applyFont="1" applyBorder="1" applyAlignment="1">
      <alignment vertical="center"/>
    </xf>
    <xf numFmtId="1" fontId="29" fillId="3" borderId="0" xfId="0" quotePrefix="1" applyNumberFormat="1" applyFont="1" applyFill="1" applyAlignment="1">
      <alignment horizontal="center"/>
    </xf>
    <xf numFmtId="165" fontId="12" fillId="9" borderId="2" xfId="0" applyNumberFormat="1" applyFont="1" applyFill="1" applyBorder="1" applyAlignment="1">
      <alignment horizontal="center" vertical="center"/>
    </xf>
    <xf numFmtId="165" fontId="12" fillId="9" borderId="2" xfId="0" applyNumberFormat="1" applyFont="1" applyFill="1" applyBorder="1" applyAlignment="1">
      <alignment horizontal="center"/>
    </xf>
    <xf numFmtId="165" fontId="12" fillId="9" borderId="20" xfId="0" applyNumberFormat="1" applyFont="1" applyFill="1" applyBorder="1" applyAlignment="1">
      <alignment horizontal="center" vertical="center"/>
    </xf>
    <xf numFmtId="165" fontId="12" fillId="9" borderId="0" xfId="0" applyNumberFormat="1" applyFont="1" applyFill="1" applyBorder="1" applyAlignment="1">
      <alignment vertical="center"/>
    </xf>
    <xf numFmtId="1" fontId="12" fillId="9" borderId="0" xfId="0" applyNumberFormat="1" applyFont="1" applyFill="1" applyBorder="1" applyAlignment="1">
      <alignment vertical="center"/>
    </xf>
    <xf numFmtId="1" fontId="10" fillId="9" borderId="0" xfId="0" applyNumberFormat="1" applyFont="1" applyFill="1" applyAlignment="1">
      <alignment horizontal="center" vertical="center"/>
    </xf>
    <xf numFmtId="17" fontId="29" fillId="3" borderId="0" xfId="0" quotePrefix="1" applyNumberFormat="1" applyFont="1" applyFill="1" applyAlignment="1">
      <alignment horizontal="center"/>
    </xf>
    <xf numFmtId="165" fontId="66" fillId="0" borderId="0" xfId="0" applyNumberFormat="1" applyFont="1"/>
    <xf numFmtId="0" fontId="68" fillId="2" borderId="0" xfId="0" applyFont="1" applyFill="1" applyBorder="1" applyAlignment="1">
      <alignment horizontal="left" vertical="center"/>
    </xf>
    <xf numFmtId="0" fontId="68" fillId="2" borderId="0" xfId="0" applyFont="1" applyFill="1" applyBorder="1" applyAlignment="1">
      <alignment horizontal="right"/>
    </xf>
    <xf numFmtId="0" fontId="68" fillId="2" borderId="0" xfId="0" applyFont="1" applyFill="1" applyBorder="1" applyAlignment="1">
      <alignment horizontal="left"/>
    </xf>
    <xf numFmtId="0" fontId="69" fillId="0" borderId="0" xfId="0" applyFont="1" applyBorder="1" applyAlignment="1">
      <alignment horizontal="left" vertical="center"/>
    </xf>
    <xf numFmtId="1" fontId="10" fillId="2" borderId="14" xfId="0" applyNumberFormat="1" applyFont="1" applyFill="1" applyBorder="1" applyAlignment="1">
      <alignment horizontal="center" vertical="center"/>
    </xf>
    <xf numFmtId="1" fontId="10" fillId="2" borderId="12" xfId="0" applyNumberFormat="1" applyFont="1" applyFill="1" applyBorder="1" applyAlignment="1">
      <alignment horizontal="center" vertical="center"/>
    </xf>
    <xf numFmtId="0" fontId="10" fillId="0" borderId="6" xfId="0" quotePrefix="1"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12" fillId="0" borderId="7" xfId="0" applyFont="1" applyFill="1" applyBorder="1" applyAlignment="1">
      <alignment horizontal="center" wrapText="1"/>
    </xf>
    <xf numFmtId="0" fontId="10" fillId="0" borderId="0" xfId="0" applyFont="1" applyBorder="1" applyAlignment="1">
      <alignment horizontal="left" vertical="center" wrapText="1"/>
    </xf>
    <xf numFmtId="0" fontId="10" fillId="0" borderId="7" xfId="0" applyFont="1" applyBorder="1" applyAlignment="1">
      <alignment horizontal="left" vertical="center" wrapText="1"/>
    </xf>
    <xf numFmtId="0" fontId="10" fillId="8" borderId="14" xfId="0" applyFont="1" applyFill="1" applyBorder="1" applyAlignment="1">
      <alignment horizontal="center" vertical="center"/>
    </xf>
    <xf numFmtId="0" fontId="10" fillId="8" borderId="12" xfId="0" applyFont="1" applyFill="1" applyBorder="1" applyAlignment="1">
      <alignment horizontal="center" vertical="center"/>
    </xf>
    <xf numFmtId="0" fontId="10" fillId="2" borderId="14" xfId="0" applyFont="1" applyFill="1" applyBorder="1" applyAlignment="1" applyProtection="1">
      <alignment horizontal="center" vertical="center"/>
    </xf>
    <xf numFmtId="0" fontId="10" fillId="2" borderId="12" xfId="0" applyFont="1" applyFill="1" applyBorder="1" applyAlignment="1" applyProtection="1">
      <alignment horizontal="center" vertical="center"/>
    </xf>
    <xf numFmtId="165" fontId="10" fillId="8" borderId="14" xfId="0" applyNumberFormat="1" applyFont="1" applyFill="1" applyBorder="1" applyAlignment="1">
      <alignment horizontal="center" vertical="center"/>
    </xf>
    <xf numFmtId="165" fontId="10" fillId="8" borderId="12" xfId="0" applyNumberFormat="1" applyFont="1" applyFill="1" applyBorder="1" applyAlignment="1">
      <alignment horizontal="center" vertical="center"/>
    </xf>
    <xf numFmtId="0" fontId="11" fillId="0" borderId="6" xfId="0" applyFont="1" applyBorder="1" applyAlignment="1">
      <alignment horizontal="left" vertical="top" wrapText="1"/>
    </xf>
    <xf numFmtId="0" fontId="0" fillId="0" borderId="0" xfId="0" applyBorder="1" applyAlignment="1">
      <alignment horizontal="left" vertical="top" wrapText="1"/>
    </xf>
    <xf numFmtId="0" fontId="0" fillId="0" borderId="7" xfId="0" applyBorder="1" applyAlignment="1">
      <alignment horizontal="left" vertical="top" wrapText="1"/>
    </xf>
    <xf numFmtId="2" fontId="10" fillId="5" borderId="14" xfId="0" applyNumberFormat="1" applyFont="1" applyFill="1" applyBorder="1" applyAlignment="1" applyProtection="1">
      <alignment horizontal="center" vertical="center"/>
      <protection locked="0"/>
    </xf>
    <xf numFmtId="2" fontId="10" fillId="5" borderId="12" xfId="0" applyNumberFormat="1" applyFont="1" applyFill="1" applyBorder="1" applyAlignment="1" applyProtection="1">
      <alignment horizontal="center" vertical="center"/>
      <protection locked="0"/>
    </xf>
    <xf numFmtId="165" fontId="10" fillId="2" borderId="14"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0" fontId="11" fillId="0" borderId="0" xfId="0" applyFont="1" applyBorder="1" applyAlignment="1">
      <alignment vertical="center" wrapText="1"/>
    </xf>
    <xf numFmtId="0" fontId="0" fillId="0" borderId="0" xfId="0" applyBorder="1" applyAlignment="1">
      <alignment wrapText="1"/>
    </xf>
    <xf numFmtId="0" fontId="0" fillId="0" borderId="7" xfId="0" applyBorder="1" applyAlignment="1">
      <alignment wrapText="1"/>
    </xf>
    <xf numFmtId="0" fontId="10" fillId="0" borderId="0" xfId="0" applyFont="1" applyFill="1" applyBorder="1" applyAlignment="1">
      <alignment horizontal="center" vertical="center"/>
    </xf>
    <xf numFmtId="49" fontId="24" fillId="0" borderId="4" xfId="0" applyNumberFormat="1" applyFont="1" applyBorder="1" applyAlignment="1">
      <alignment horizontal="center" vertical="center" wrapText="1"/>
    </xf>
    <xf numFmtId="2" fontId="10" fillId="2" borderId="14" xfId="0" applyNumberFormat="1" applyFont="1" applyFill="1" applyBorder="1" applyAlignment="1">
      <alignment horizontal="center" vertical="center"/>
    </xf>
    <xf numFmtId="2" fontId="10" fillId="2" borderId="12" xfId="0" applyNumberFormat="1" applyFont="1" applyFill="1" applyBorder="1" applyAlignment="1">
      <alignment horizontal="center" vertical="center"/>
    </xf>
    <xf numFmtId="165" fontId="10" fillId="7" borderId="14" xfId="0" applyNumberFormat="1" applyFont="1" applyFill="1" applyBorder="1" applyAlignment="1" applyProtection="1">
      <alignment horizontal="center" vertical="center"/>
      <protection locked="0"/>
    </xf>
    <xf numFmtId="165" fontId="10" fillId="7" borderId="12" xfId="0" applyNumberFormat="1" applyFont="1" applyFill="1" applyBorder="1" applyAlignment="1" applyProtection="1">
      <alignment horizontal="center" vertical="center"/>
      <protection locked="0"/>
    </xf>
    <xf numFmtId="0" fontId="67" fillId="0" borderId="0" xfId="0" applyFont="1" applyFill="1" applyBorder="1" applyAlignment="1">
      <alignment horizontal="center" vertical="center"/>
    </xf>
    <xf numFmtId="0" fontId="67" fillId="0" borderId="7" xfId="0" applyFont="1" applyFill="1" applyBorder="1" applyAlignment="1">
      <alignment horizontal="center" vertical="center"/>
    </xf>
    <xf numFmtId="0" fontId="11" fillId="0" borderId="0" xfId="0" applyFont="1" applyBorder="1" applyAlignment="1">
      <alignment horizontal="right" vertical="center"/>
    </xf>
    <xf numFmtId="0" fontId="11" fillId="0" borderId="7" xfId="0" applyFont="1" applyBorder="1" applyAlignment="1">
      <alignment horizontal="right" vertical="center"/>
    </xf>
    <xf numFmtId="0" fontId="10" fillId="2" borderId="15" xfId="0" applyFont="1" applyFill="1" applyBorder="1" applyAlignment="1">
      <alignment horizontal="right"/>
    </xf>
    <xf numFmtId="0" fontId="10" fillId="2" borderId="15" xfId="0" applyFont="1" applyFill="1" applyBorder="1" applyAlignment="1">
      <alignment horizontal="left"/>
    </xf>
    <xf numFmtId="1" fontId="10" fillId="5" borderId="14" xfId="0" applyNumberFormat="1" applyFont="1" applyFill="1" applyBorder="1" applyAlignment="1" applyProtection="1">
      <alignment horizontal="center" vertical="center"/>
      <protection locked="0"/>
    </xf>
    <xf numFmtId="1" fontId="8" fillId="5" borderId="12" xfId="0" applyNumberFormat="1" applyFont="1" applyFill="1" applyBorder="1" applyAlignment="1" applyProtection="1">
      <alignment horizontal="center" vertical="center"/>
      <protection locked="0"/>
    </xf>
    <xf numFmtId="165" fontId="13" fillId="3" borderId="0" xfId="0" applyNumberFormat="1" applyFont="1" applyFill="1" applyBorder="1" applyAlignment="1" applyProtection="1">
      <alignment horizontal="center" vertical="center"/>
    </xf>
    <xf numFmtId="0" fontId="10" fillId="7" borderId="14" xfId="0" applyFont="1" applyFill="1" applyBorder="1" applyAlignment="1" applyProtection="1">
      <alignment horizontal="center" vertical="center"/>
      <protection locked="0"/>
    </xf>
    <xf numFmtId="0" fontId="10" fillId="7" borderId="12" xfId="0" applyFont="1" applyFill="1" applyBorder="1" applyAlignment="1" applyProtection="1">
      <alignment horizontal="center" vertical="center"/>
      <protection locked="0"/>
    </xf>
    <xf numFmtId="165" fontId="10" fillId="5" borderId="14" xfId="0" applyNumberFormat="1" applyFont="1" applyFill="1" applyBorder="1" applyAlignment="1" applyProtection="1">
      <alignment horizontal="center" vertical="center"/>
      <protection locked="0"/>
    </xf>
    <xf numFmtId="165" fontId="10" fillId="5" borderId="12" xfId="0" applyNumberFormat="1" applyFont="1" applyFill="1" applyBorder="1" applyAlignment="1" applyProtection="1">
      <alignment horizontal="center" vertical="center"/>
      <protection locked="0"/>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7" xfId="0" applyFont="1" applyBorder="1" applyAlignment="1">
      <alignment horizontal="left" vertical="center" wrapText="1"/>
    </xf>
    <xf numFmtId="0" fontId="12" fillId="0" borderId="0" xfId="0" applyFont="1" applyFill="1" applyBorder="1" applyAlignment="1">
      <alignment horizontal="center" wrapText="1"/>
    </xf>
    <xf numFmtId="0" fontId="10" fillId="0" borderId="0" xfId="0" applyFont="1" applyFill="1" applyBorder="1" applyAlignment="1">
      <alignment horizontal="center"/>
    </xf>
    <xf numFmtId="164" fontId="10" fillId="0" borderId="7" xfId="0" applyNumberFormat="1" applyFont="1" applyFill="1" applyBorder="1" applyAlignment="1">
      <alignment horizontal="center"/>
    </xf>
    <xf numFmtId="0" fontId="10" fillId="7" borderId="10" xfId="0" applyFont="1" applyFill="1" applyBorder="1" applyAlignment="1" applyProtection="1">
      <alignment horizontal="left" vertical="top" wrapText="1"/>
      <protection locked="0"/>
    </xf>
    <xf numFmtId="0" fontId="10" fillId="7" borderId="9" xfId="0" applyFont="1" applyFill="1" applyBorder="1" applyAlignment="1" applyProtection="1">
      <alignment horizontal="left" vertical="top" wrapText="1"/>
      <protection locked="0"/>
    </xf>
    <xf numFmtId="0" fontId="10" fillId="7" borderId="11" xfId="0" applyFont="1" applyFill="1" applyBorder="1" applyAlignment="1" applyProtection="1">
      <alignment horizontal="left" vertical="top" wrapText="1"/>
      <protection locked="0"/>
    </xf>
    <xf numFmtId="0" fontId="10" fillId="7" borderId="6" xfId="0" applyFont="1" applyFill="1" applyBorder="1" applyAlignment="1" applyProtection="1">
      <alignment horizontal="left" vertical="top" wrapText="1"/>
      <protection locked="0"/>
    </xf>
    <xf numFmtId="0" fontId="10" fillId="7" borderId="0" xfId="0" applyFont="1" applyFill="1" applyBorder="1" applyAlignment="1" applyProtection="1">
      <alignment horizontal="left" vertical="top" wrapText="1"/>
      <protection locked="0"/>
    </xf>
    <xf numFmtId="0" fontId="10" fillId="7" borderId="7"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10" fillId="7" borderId="4" xfId="0" applyFont="1" applyFill="1" applyBorder="1" applyAlignment="1" applyProtection="1">
      <alignment horizontal="left" vertical="top" wrapText="1"/>
      <protection locked="0"/>
    </xf>
    <xf numFmtId="0" fontId="10" fillId="7" borderId="5" xfId="0" applyFont="1" applyFill="1" applyBorder="1" applyAlignment="1" applyProtection="1">
      <alignment horizontal="left" vertical="top" wrapText="1"/>
      <protection locked="0"/>
    </xf>
    <xf numFmtId="0" fontId="10" fillId="0" borderId="6" xfId="0" applyFont="1" applyBorder="1" applyAlignment="1">
      <alignment horizontal="left" vertical="center"/>
    </xf>
    <xf numFmtId="0" fontId="0" fillId="0" borderId="0" xfId="0" applyBorder="1" applyAlignment="1">
      <alignment vertical="center"/>
    </xf>
    <xf numFmtId="0" fontId="10" fillId="0" borderId="0" xfId="0" quotePrefix="1" applyFont="1" applyBorder="1" applyAlignment="1">
      <alignment horizontal="left" vertical="center" wrapText="1"/>
    </xf>
    <xf numFmtId="165" fontId="8" fillId="2" borderId="12" xfId="0" applyNumberFormat="1" applyFont="1" applyFill="1" applyBorder="1" applyAlignment="1">
      <alignment horizontal="center" vertical="center"/>
    </xf>
    <xf numFmtId="164" fontId="10" fillId="2" borderId="14" xfId="0" applyNumberFormat="1" applyFont="1" applyFill="1" applyBorder="1" applyAlignment="1">
      <alignment horizontal="center" vertical="center"/>
    </xf>
    <xf numFmtId="164" fontId="10" fillId="2" borderId="12" xfId="0" applyNumberFormat="1" applyFont="1" applyFill="1" applyBorder="1" applyAlignment="1">
      <alignment horizontal="center" vertical="center"/>
    </xf>
    <xf numFmtId="0" fontId="10" fillId="0" borderId="0" xfId="0" applyFont="1" applyBorder="1" applyAlignment="1">
      <alignment horizontal="left" vertical="center"/>
    </xf>
    <xf numFmtId="49" fontId="12" fillId="2" borderId="14" xfId="0" applyNumberFormat="1" applyFont="1" applyFill="1" applyBorder="1" applyAlignment="1">
      <alignment horizontal="left" vertical="center" wrapText="1"/>
    </xf>
    <xf numFmtId="49" fontId="12" fillId="2" borderId="15" xfId="0" applyNumberFormat="1" applyFont="1" applyFill="1" applyBorder="1" applyAlignment="1">
      <alignment horizontal="left" vertical="center" wrapText="1"/>
    </xf>
    <xf numFmtId="49" fontId="12" fillId="2" borderId="12" xfId="0" applyNumberFormat="1" applyFont="1" applyFill="1" applyBorder="1" applyAlignment="1">
      <alignment horizontal="left" vertical="center" wrapText="1"/>
    </xf>
    <xf numFmtId="0" fontId="10" fillId="2" borderId="9" xfId="0" applyFont="1" applyFill="1" applyBorder="1" applyAlignment="1">
      <alignment horizontal="right"/>
    </xf>
    <xf numFmtId="49" fontId="12" fillId="0" borderId="0" xfId="0" applyNumberFormat="1" applyFont="1" applyFill="1" applyBorder="1" applyAlignment="1">
      <alignment horizontal="left" vertical="center" wrapText="1"/>
    </xf>
    <xf numFmtId="0" fontId="0" fillId="0" borderId="0" xfId="0" applyBorder="1" applyAlignment="1">
      <alignment horizontal="left" vertical="center"/>
    </xf>
    <xf numFmtId="165" fontId="8" fillId="5" borderId="12" xfId="0" applyNumberFormat="1" applyFont="1" applyFill="1" applyBorder="1" applyAlignment="1" applyProtection="1">
      <alignment horizontal="center" vertical="center"/>
      <protection locked="0"/>
    </xf>
    <xf numFmtId="0" fontId="10" fillId="2" borderId="9" xfId="0" applyFont="1" applyFill="1" applyBorder="1" applyAlignment="1">
      <alignment horizontal="left"/>
    </xf>
    <xf numFmtId="1" fontId="10" fillId="5" borderId="12" xfId="0" applyNumberFormat="1"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49" fontId="10" fillId="5" borderId="14" xfId="0" applyNumberFormat="1" applyFont="1" applyFill="1" applyBorder="1" applyAlignment="1" applyProtection="1">
      <alignment horizontal="center" vertical="center"/>
      <protection locked="0"/>
    </xf>
    <xf numFmtId="49" fontId="10" fillId="5" borderId="15" xfId="0" applyNumberFormat="1" applyFont="1" applyFill="1" applyBorder="1" applyAlignment="1" applyProtection="1">
      <alignment horizontal="center" vertical="center"/>
      <protection locked="0"/>
    </xf>
    <xf numFmtId="49" fontId="10" fillId="5" borderId="12"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wrapText="1"/>
      <protection locked="0"/>
    </xf>
    <xf numFmtId="49" fontId="12" fillId="5" borderId="15" xfId="0" applyNumberFormat="1" applyFont="1" applyFill="1" applyBorder="1" applyAlignment="1" applyProtection="1">
      <alignment horizontal="center" vertical="center" wrapText="1"/>
      <protection locked="0"/>
    </xf>
    <xf numFmtId="49" fontId="12" fillId="5" borderId="12" xfId="0" applyNumberFormat="1" applyFont="1" applyFill="1" applyBorder="1" applyAlignment="1" applyProtection="1">
      <alignment horizontal="center" vertical="center" wrapText="1"/>
      <protection locked="0"/>
    </xf>
    <xf numFmtId="0" fontId="10" fillId="0" borderId="7" xfId="0" applyFont="1" applyBorder="1" applyAlignment="1">
      <alignment horizontal="left" vertical="center"/>
    </xf>
    <xf numFmtId="0" fontId="10" fillId="0" borderId="0" xfId="0" applyFont="1" applyFill="1" applyBorder="1" applyAlignment="1">
      <alignment horizontal="left" vertical="center"/>
    </xf>
    <xf numFmtId="0" fontId="10" fillId="0" borderId="7" xfId="0" applyFont="1" applyFill="1" applyBorder="1" applyAlignment="1">
      <alignment horizontal="left" vertical="center"/>
    </xf>
    <xf numFmtId="0" fontId="10" fillId="0" borderId="6"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25" fillId="0" borderId="19" xfId="0" applyFont="1" applyBorder="1" applyAlignment="1">
      <alignment horizontal="center"/>
    </xf>
    <xf numFmtId="0" fontId="25" fillId="0" borderId="12" xfId="0" applyFont="1" applyBorder="1" applyAlignment="1">
      <alignment horizontal="center"/>
    </xf>
    <xf numFmtId="0" fontId="10" fillId="0" borderId="0" xfId="0" applyFont="1" applyFill="1" applyBorder="1" applyAlignment="1">
      <alignment horizontal="left" vertical="top" wrapText="1"/>
    </xf>
    <xf numFmtId="0" fontId="25" fillId="0" borderId="32" xfId="0" applyFont="1" applyBorder="1" applyAlignment="1">
      <alignment horizontal="center"/>
    </xf>
    <xf numFmtId="0" fontId="25" fillId="0" borderId="8" xfId="0" applyFont="1" applyBorder="1" applyAlignment="1">
      <alignment horizontal="center"/>
    </xf>
    <xf numFmtId="49" fontId="12" fillId="2" borderId="3" xfId="0" applyNumberFormat="1"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49" fontId="12" fillId="2" borderId="5" xfId="0" applyNumberFormat="1" applyFont="1" applyFill="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165" fontId="9" fillId="0" borderId="15" xfId="0" applyNumberFormat="1" applyFont="1" applyFill="1" applyBorder="1" applyAlignment="1">
      <alignment horizontal="center" vertical="center"/>
    </xf>
    <xf numFmtId="0" fontId="10" fillId="7" borderId="30" xfId="0" applyFont="1" applyFill="1" applyBorder="1" applyAlignment="1" applyProtection="1">
      <alignment horizontal="left" vertical="top" wrapText="1"/>
      <protection locked="0"/>
    </xf>
    <xf numFmtId="0" fontId="0" fillId="7" borderId="29" xfId="0" applyFill="1" applyBorder="1" applyAlignment="1" applyProtection="1">
      <alignment horizontal="left" vertical="top" wrapText="1"/>
      <protection locked="0"/>
    </xf>
    <xf numFmtId="0" fontId="0" fillId="7" borderId="31" xfId="0" applyFill="1" applyBorder="1" applyAlignment="1" applyProtection="1">
      <alignment horizontal="left" vertical="top" wrapText="1"/>
      <protection locked="0"/>
    </xf>
    <xf numFmtId="49" fontId="24" fillId="0" borderId="0" xfId="0" applyNumberFormat="1" applyFont="1" applyBorder="1" applyAlignment="1">
      <alignment horizontal="center" vertical="center" wrapText="1"/>
    </xf>
    <xf numFmtId="0" fontId="10" fillId="8" borderId="22" xfId="0" applyFont="1" applyFill="1" applyBorder="1" applyAlignment="1">
      <alignment horizontal="right" vertical="center"/>
    </xf>
    <xf numFmtId="0" fontId="12" fillId="2" borderId="22" xfId="0" applyFont="1" applyFill="1" applyBorder="1" applyAlignment="1">
      <alignment horizontal="left" vertical="center"/>
    </xf>
    <xf numFmtId="0" fontId="10" fillId="2" borderId="22" xfId="0" applyFont="1" applyFill="1" applyBorder="1" applyAlignment="1">
      <alignment horizontal="left" vertical="center"/>
    </xf>
    <xf numFmtId="1" fontId="10" fillId="7" borderId="14" xfId="22" applyNumberFormat="1" applyFont="1" applyFill="1" applyBorder="1" applyAlignment="1" applyProtection="1">
      <alignment horizontal="center" vertical="center"/>
      <protection locked="0"/>
    </xf>
    <xf numFmtId="0" fontId="8" fillId="7" borderId="12" xfId="22" applyFont="1" applyFill="1" applyBorder="1" applyAlignment="1" applyProtection="1">
      <alignment horizontal="center" vertical="center"/>
      <protection locked="0"/>
    </xf>
    <xf numFmtId="0" fontId="12" fillId="7" borderId="14" xfId="0" applyFont="1" applyFill="1" applyBorder="1" applyAlignment="1" applyProtection="1">
      <alignment horizontal="center" vertical="center"/>
      <protection locked="0"/>
    </xf>
    <xf numFmtId="0" fontId="12" fillId="7" borderId="15"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2" fillId="2" borderId="19"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28" xfId="0" applyFont="1" applyFill="1" applyBorder="1" applyAlignment="1">
      <alignment horizontal="left" vertical="center"/>
    </xf>
    <xf numFmtId="1" fontId="10" fillId="8" borderId="14" xfId="0" applyNumberFormat="1" applyFont="1" applyFill="1" applyBorder="1" applyAlignment="1">
      <alignment horizontal="center" vertical="center"/>
    </xf>
    <xf numFmtId="1" fontId="10" fillId="5" borderId="15" xfId="0" applyNumberFormat="1" applyFont="1" applyFill="1" applyBorder="1" applyAlignment="1" applyProtection="1">
      <alignment horizontal="center" vertical="center"/>
      <protection locked="0"/>
    </xf>
    <xf numFmtId="0" fontId="10" fillId="7" borderId="15" xfId="0" applyFont="1" applyFill="1" applyBorder="1" applyAlignment="1" applyProtection="1">
      <alignment horizontal="center" vertical="center"/>
      <protection locked="0"/>
    </xf>
    <xf numFmtId="0" fontId="17" fillId="0" borderId="0" xfId="0" applyFont="1" applyBorder="1" applyAlignment="1">
      <alignment horizontal="left" vertical="top" wrapText="1"/>
    </xf>
    <xf numFmtId="0" fontId="17" fillId="0" borderId="1" xfId="0" applyFont="1" applyBorder="1" applyAlignment="1">
      <alignment horizontal="left" vertical="top" wrapText="1"/>
    </xf>
    <xf numFmtId="0" fontId="8" fillId="2" borderId="12" xfId="0" applyFont="1" applyFill="1" applyBorder="1" applyAlignment="1">
      <alignment horizontal="center" vertical="center"/>
    </xf>
    <xf numFmtId="171" fontId="10" fillId="8" borderId="14" xfId="0" applyNumberFormat="1" applyFont="1" applyFill="1" applyBorder="1" applyAlignment="1">
      <alignment horizontal="center" vertical="center"/>
    </xf>
    <xf numFmtId="171" fontId="10" fillId="2" borderId="12" xfId="0" applyNumberFormat="1" applyFont="1" applyFill="1" applyBorder="1" applyAlignment="1">
      <alignment horizontal="center" vertical="center"/>
    </xf>
    <xf numFmtId="0" fontId="10" fillId="2" borderId="14" xfId="0" quotePrefix="1" applyFont="1" applyFill="1" applyBorder="1" applyAlignment="1">
      <alignment horizontal="center" vertical="center"/>
    </xf>
    <xf numFmtId="0" fontId="10" fillId="2" borderId="12" xfId="0" quotePrefix="1" applyFont="1" applyFill="1" applyBorder="1" applyAlignment="1">
      <alignment horizontal="center" vertical="center"/>
    </xf>
    <xf numFmtId="0" fontId="14" fillId="0" borderId="0" xfId="0" applyFont="1" applyBorder="1" applyAlignment="1">
      <alignment horizontal="left" vertical="center"/>
    </xf>
    <xf numFmtId="1" fontId="12" fillId="0" borderId="0" xfId="0" applyNumberFormat="1" applyFont="1" applyBorder="1" applyAlignment="1">
      <alignment horizontal="right" vertical="center"/>
    </xf>
    <xf numFmtId="165" fontId="10" fillId="2" borderId="14" xfId="0" applyNumberFormat="1" applyFont="1" applyFill="1" applyBorder="1" applyAlignment="1" applyProtection="1">
      <alignment horizontal="center" vertical="center"/>
      <protection hidden="1"/>
    </xf>
    <xf numFmtId="165" fontId="10" fillId="2" borderId="12" xfId="0" applyNumberFormat="1" applyFont="1" applyFill="1" applyBorder="1" applyAlignment="1" applyProtection="1">
      <alignment horizontal="center" vertical="center"/>
      <protection hidden="1"/>
    </xf>
    <xf numFmtId="165" fontId="10" fillId="4" borderId="14" xfId="0" applyNumberFormat="1" applyFont="1" applyFill="1" applyBorder="1" applyAlignment="1" applyProtection="1">
      <alignment horizontal="center" vertical="center"/>
      <protection locked="0"/>
    </xf>
    <xf numFmtId="165" fontId="10" fillId="4" borderId="12" xfId="0" applyNumberFormat="1" applyFont="1" applyFill="1" applyBorder="1" applyAlignment="1" applyProtection="1">
      <alignment horizontal="center" vertical="center"/>
      <protection locked="0"/>
    </xf>
    <xf numFmtId="165" fontId="10" fillId="4" borderId="14" xfId="0" applyNumberFormat="1" applyFont="1" applyFill="1" applyBorder="1" applyAlignment="1" applyProtection="1">
      <alignment horizontal="center" vertical="center"/>
      <protection locked="0" hidden="1"/>
    </xf>
    <xf numFmtId="165" fontId="10" fillId="4" borderId="12" xfId="0" applyNumberFormat="1" applyFont="1" applyFill="1" applyBorder="1" applyAlignment="1" applyProtection="1">
      <alignment horizontal="center" vertical="center"/>
      <protection locked="0" hidden="1"/>
    </xf>
    <xf numFmtId="0" fontId="10" fillId="4" borderId="14"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165" fontId="10" fillId="9" borderId="14" xfId="0" applyNumberFormat="1" applyFont="1" applyFill="1" applyBorder="1" applyAlignment="1">
      <alignment horizontal="center" vertical="center"/>
    </xf>
    <xf numFmtId="165" fontId="10" fillId="9" borderId="12" xfId="0" applyNumberFormat="1" applyFont="1" applyFill="1" applyBorder="1" applyAlignment="1">
      <alignment horizontal="center" vertical="center"/>
    </xf>
    <xf numFmtId="165" fontId="10" fillId="0" borderId="0" xfId="0" applyNumberFormat="1" applyFont="1" applyFill="1" applyBorder="1" applyAlignment="1">
      <alignment horizontal="center" vertical="center"/>
    </xf>
    <xf numFmtId="0" fontId="56" fillId="2" borderId="19" xfId="0" applyFont="1" applyFill="1" applyBorder="1" applyAlignment="1">
      <alignment horizontal="left" vertical="center"/>
    </xf>
    <xf numFmtId="0" fontId="56" fillId="2" borderId="15" xfId="0" applyFont="1" applyFill="1" applyBorder="1" applyAlignment="1">
      <alignment horizontal="left" vertical="center"/>
    </xf>
    <xf numFmtId="0" fontId="56" fillId="2" borderId="28" xfId="0" applyFont="1" applyFill="1" applyBorder="1" applyAlignment="1">
      <alignment horizontal="left" vertical="center"/>
    </xf>
    <xf numFmtId="0" fontId="54" fillId="2" borderId="19"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2"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28" xfId="0" applyFont="1" applyFill="1" applyBorder="1" applyAlignment="1">
      <alignment horizontal="center" vertical="center"/>
    </xf>
    <xf numFmtId="165" fontId="54" fillId="2" borderId="14" xfId="0" applyNumberFormat="1" applyFont="1" applyFill="1" applyBorder="1" applyAlignment="1">
      <alignment horizontal="center" vertical="center"/>
    </xf>
    <xf numFmtId="165" fontId="54" fillId="2" borderId="12" xfId="0" applyNumberFormat="1" applyFont="1" applyFill="1" applyBorder="1" applyAlignment="1">
      <alignment horizontal="center" vertical="center"/>
    </xf>
    <xf numFmtId="0" fontId="54" fillId="0" borderId="0" xfId="0" applyFont="1" applyBorder="1" applyAlignment="1">
      <alignment horizontal="center" vertical="center"/>
    </xf>
    <xf numFmtId="0" fontId="44" fillId="0" borderId="0" xfId="0" applyFont="1" applyBorder="1" applyAlignment="1">
      <alignment horizontal="center" vertical="center" wrapText="1"/>
    </xf>
    <xf numFmtId="0" fontId="54" fillId="5" borderId="14" xfId="0" applyFont="1" applyFill="1" applyBorder="1" applyAlignment="1" applyProtection="1">
      <alignment horizontal="left" vertical="center"/>
      <protection locked="0"/>
    </xf>
    <xf numFmtId="0" fontId="54" fillId="5" borderId="15" xfId="0" applyFont="1" applyFill="1" applyBorder="1" applyAlignment="1" applyProtection="1">
      <alignment horizontal="left" vertical="center"/>
      <protection locked="0"/>
    </xf>
    <xf numFmtId="0" fontId="54" fillId="5" borderId="12" xfId="0" applyFont="1" applyFill="1" applyBorder="1" applyAlignment="1" applyProtection="1">
      <alignment horizontal="left" vertical="center"/>
      <protection locked="0"/>
    </xf>
    <xf numFmtId="0" fontId="54" fillId="0" borderId="0" xfId="0" applyFont="1" applyFill="1" applyBorder="1" applyAlignment="1">
      <alignment horizontal="right" vertical="center"/>
    </xf>
    <xf numFmtId="0" fontId="54" fillId="0" borderId="7" xfId="0" applyFont="1" applyFill="1" applyBorder="1" applyAlignment="1">
      <alignment horizontal="right" vertical="center"/>
    </xf>
    <xf numFmtId="0" fontId="54" fillId="0" borderId="0" xfId="0" applyFont="1" applyBorder="1" applyAlignment="1">
      <alignment horizontal="right" vertical="center"/>
    </xf>
    <xf numFmtId="0" fontId="54" fillId="0" borderId="7" xfId="0" applyFont="1" applyBorder="1" applyAlignment="1">
      <alignment horizontal="right" vertical="center"/>
    </xf>
    <xf numFmtId="0" fontId="10" fillId="2" borderId="22" xfId="0" applyFont="1" applyFill="1" applyBorder="1" applyAlignment="1">
      <alignment horizontal="right"/>
    </xf>
    <xf numFmtId="0" fontId="10" fillId="2" borderId="22" xfId="0" applyFont="1" applyFill="1" applyBorder="1" applyAlignment="1">
      <alignment horizontal="left"/>
    </xf>
    <xf numFmtId="0" fontId="10" fillId="2" borderId="22" xfId="0" applyNumberFormat="1" applyFont="1" applyFill="1" applyBorder="1" applyAlignment="1" applyProtection="1">
      <alignment horizontal="center" vertical="center"/>
    </xf>
    <xf numFmtId="0" fontId="10" fillId="2" borderId="23" xfId="0" applyNumberFormat="1" applyFont="1" applyFill="1" applyBorder="1" applyAlignment="1" applyProtection="1">
      <alignment horizontal="center" vertical="center"/>
    </xf>
    <xf numFmtId="0" fontId="54" fillId="7" borderId="14" xfId="0" applyFont="1" applyFill="1" applyBorder="1" applyAlignment="1" applyProtection="1">
      <alignment horizontal="left" vertical="top" wrapText="1"/>
      <protection locked="0"/>
    </xf>
    <xf numFmtId="0" fontId="54" fillId="7" borderId="15" xfId="0" applyFont="1" applyFill="1" applyBorder="1" applyAlignment="1" applyProtection="1">
      <alignment horizontal="left" vertical="top" wrapText="1"/>
      <protection locked="0"/>
    </xf>
    <xf numFmtId="0" fontId="54" fillId="7" borderId="12" xfId="0" applyFont="1" applyFill="1" applyBorder="1" applyAlignment="1" applyProtection="1">
      <alignment horizontal="left" vertical="top" wrapText="1"/>
      <protection locked="0"/>
    </xf>
    <xf numFmtId="0" fontId="56" fillId="0" borderId="8" xfId="0" applyFont="1" applyBorder="1" applyAlignment="1">
      <alignment horizontal="center" vertical="center" wrapText="1"/>
    </xf>
    <xf numFmtId="0" fontId="56" fillId="0" borderId="8" xfId="0" applyFont="1" applyBorder="1" applyAlignment="1">
      <alignment horizontal="center" vertical="center"/>
    </xf>
    <xf numFmtId="0" fontId="54" fillId="2" borderId="8" xfId="0" applyFont="1" applyFill="1" applyBorder="1" applyAlignment="1">
      <alignment horizontal="center" vertical="center"/>
    </xf>
    <xf numFmtId="0" fontId="54" fillId="0" borderId="8" xfId="0" applyFont="1" applyBorder="1" applyAlignment="1">
      <alignment horizontal="center" vertical="center"/>
    </xf>
    <xf numFmtId="1" fontId="54" fillId="2" borderId="14" xfId="0" applyNumberFormat="1" applyFont="1" applyFill="1" applyBorder="1" applyAlignment="1">
      <alignment horizontal="center" vertical="center"/>
    </xf>
    <xf numFmtId="0" fontId="59" fillId="0" borderId="12" xfId="0" applyFont="1" applyBorder="1" applyAlignment="1">
      <alignment vertical="center"/>
    </xf>
    <xf numFmtId="170" fontId="54" fillId="2" borderId="14" xfId="0" applyNumberFormat="1" applyFont="1" applyFill="1" applyBorder="1" applyAlignment="1">
      <alignment horizontal="center" vertical="center"/>
    </xf>
    <xf numFmtId="170" fontId="59" fillId="0" borderId="12" xfId="0" applyNumberFormat="1" applyFont="1" applyBorder="1" applyAlignment="1">
      <alignment vertical="center"/>
    </xf>
    <xf numFmtId="170" fontId="54" fillId="2" borderId="12" xfId="0" applyNumberFormat="1" applyFont="1" applyFill="1" applyBorder="1" applyAlignment="1">
      <alignment horizontal="center" vertical="center"/>
    </xf>
    <xf numFmtId="0" fontId="39" fillId="0" borderId="0" xfId="0" applyFont="1" applyBorder="1" applyAlignment="1">
      <alignment horizontal="left" vertical="center" wrapText="1"/>
    </xf>
    <xf numFmtId="0" fontId="54" fillId="0" borderId="0" xfId="0" applyFont="1" applyBorder="1" applyAlignment="1">
      <alignment horizontal="left" vertical="center" wrapText="1"/>
    </xf>
    <xf numFmtId="0" fontId="54" fillId="0" borderId="1" xfId="0" applyFont="1" applyBorder="1" applyAlignment="1">
      <alignment horizontal="left" vertical="center" wrapText="1"/>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9" fillId="2" borderId="8" xfId="0" applyFont="1" applyFill="1" applyBorder="1" applyAlignment="1">
      <alignment horizontal="center" vertical="center"/>
    </xf>
    <xf numFmtId="0" fontId="54" fillId="5" borderId="14" xfId="0" applyFont="1" applyFill="1" applyBorder="1" applyAlignment="1" applyProtection="1">
      <alignment horizontal="center" vertical="center"/>
      <protection locked="0"/>
    </xf>
    <xf numFmtId="0" fontId="54" fillId="5" borderId="12" xfId="0" applyFont="1" applyFill="1" applyBorder="1" applyAlignment="1" applyProtection="1">
      <alignment horizontal="center" vertical="center"/>
      <protection locked="0"/>
    </xf>
    <xf numFmtId="1" fontId="54" fillId="0" borderId="0" xfId="0" applyNumberFormat="1" applyFont="1" applyFill="1" applyBorder="1" applyAlignment="1">
      <alignment horizontal="center" vertical="center"/>
    </xf>
    <xf numFmtId="1" fontId="54" fillId="0" borderId="1" xfId="0" applyNumberFormat="1"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Border="1" applyAlignment="1">
      <alignment horizontal="left" vertical="center"/>
    </xf>
    <xf numFmtId="1" fontId="54" fillId="2" borderId="12" xfId="0" applyNumberFormat="1" applyFont="1" applyFill="1" applyBorder="1" applyAlignment="1">
      <alignment horizontal="center" vertical="center"/>
    </xf>
  </cellXfs>
  <cellStyles count="295">
    <cellStyle name="Euro" xfId="1" xr:uid="{00000000-0005-0000-0000-000000000000}"/>
    <cellStyle name="Euro 2" xfId="2" xr:uid="{00000000-0005-0000-0000-000001000000}"/>
    <cellStyle name="Euro 2 2" xfId="3" xr:uid="{00000000-0005-0000-0000-000002000000}"/>
    <cellStyle name="Euro 3" xfId="4" xr:uid="{00000000-0005-0000-0000-000003000000}"/>
    <cellStyle name="Euro 3 2" xfId="5" xr:uid="{00000000-0005-0000-0000-000004000000}"/>
    <cellStyle name="Euro 4" xfId="6" xr:uid="{00000000-0005-0000-0000-000005000000}"/>
    <cellStyle name="Euro 4 2" xfId="7" xr:uid="{00000000-0005-0000-0000-000006000000}"/>
    <cellStyle name="Normal" xfId="0" builtinId="0"/>
    <cellStyle name="Normal 2" xfId="8" xr:uid="{00000000-0005-0000-0000-000008000000}"/>
    <cellStyle name="Normal 2 2" xfId="9" xr:uid="{00000000-0005-0000-0000-000009000000}"/>
    <cellStyle name="Normal 2 2 2" xfId="10" xr:uid="{00000000-0005-0000-0000-00000A000000}"/>
    <cellStyle name="Normal 2 2 2 2" xfId="11" xr:uid="{00000000-0005-0000-0000-00000B000000}"/>
    <cellStyle name="Normal 2 2 2 2 2" xfId="12" xr:uid="{00000000-0005-0000-0000-00000C000000}"/>
    <cellStyle name="Normal 2 2 2 3" xfId="13" xr:uid="{00000000-0005-0000-0000-00000D000000}"/>
    <cellStyle name="Normal 2 2 2 3 2" xfId="14" xr:uid="{00000000-0005-0000-0000-00000E000000}"/>
    <cellStyle name="Normal 2 2 2 4" xfId="15" xr:uid="{00000000-0005-0000-0000-00000F000000}"/>
    <cellStyle name="Normal 2 2 3" xfId="16" xr:uid="{00000000-0005-0000-0000-000010000000}"/>
    <cellStyle name="Normal 2 2 3 2" xfId="17" xr:uid="{00000000-0005-0000-0000-000011000000}"/>
    <cellStyle name="Normal 2 2 3 2 2" xfId="18" xr:uid="{00000000-0005-0000-0000-000012000000}"/>
    <cellStyle name="Normal 2 2 3 3" xfId="19" xr:uid="{00000000-0005-0000-0000-000013000000}"/>
    <cellStyle name="Normal 2 2 3 3 2" xfId="20" xr:uid="{00000000-0005-0000-0000-000014000000}"/>
    <cellStyle name="Normal 2 2 3 4" xfId="21" xr:uid="{00000000-0005-0000-0000-000015000000}"/>
    <cellStyle name="Normal 2 2 4" xfId="22" xr:uid="{00000000-0005-0000-0000-000016000000}"/>
    <cellStyle name="Normal 2 2 4 2" xfId="23" xr:uid="{00000000-0005-0000-0000-000017000000}"/>
    <cellStyle name="Normal 2 2 5" xfId="24" xr:uid="{00000000-0005-0000-0000-000018000000}"/>
    <cellStyle name="Normal 2 2 6" xfId="25" xr:uid="{00000000-0005-0000-0000-000019000000}"/>
    <cellStyle name="Normal 2 2 7" xfId="26" xr:uid="{00000000-0005-0000-0000-00001A000000}"/>
    <cellStyle name="Normal 2 3" xfId="27" xr:uid="{00000000-0005-0000-0000-00001B000000}"/>
    <cellStyle name="Normal 2 3 2" xfId="28" xr:uid="{00000000-0005-0000-0000-00001C000000}"/>
    <cellStyle name="Normal 2 3 2 2" xfId="29" xr:uid="{00000000-0005-0000-0000-00001D000000}"/>
    <cellStyle name="Normal 2 3 3" xfId="30" xr:uid="{00000000-0005-0000-0000-00001E000000}"/>
    <cellStyle name="Normal 2 3 3 2" xfId="31" xr:uid="{00000000-0005-0000-0000-00001F000000}"/>
    <cellStyle name="Normal 2 3 4" xfId="32" xr:uid="{00000000-0005-0000-0000-000020000000}"/>
    <cellStyle name="Normal 2 4" xfId="33" xr:uid="{00000000-0005-0000-0000-000021000000}"/>
    <cellStyle name="Normal 2 4 2" xfId="34" xr:uid="{00000000-0005-0000-0000-000022000000}"/>
    <cellStyle name="Normal 2 5" xfId="35" xr:uid="{00000000-0005-0000-0000-000023000000}"/>
    <cellStyle name="Normal 2 5 2" xfId="36" xr:uid="{00000000-0005-0000-0000-000024000000}"/>
    <cellStyle name="Normal 2 5 2 2" xfId="37" xr:uid="{00000000-0005-0000-0000-000025000000}"/>
    <cellStyle name="Normal 2 5 3" xfId="38" xr:uid="{00000000-0005-0000-0000-000026000000}"/>
    <cellStyle name="Normal 2 6" xfId="39" xr:uid="{00000000-0005-0000-0000-000027000000}"/>
    <cellStyle name="Normal 2 6 2" xfId="40" xr:uid="{00000000-0005-0000-0000-000028000000}"/>
    <cellStyle name="Normal 2 7" xfId="41" xr:uid="{00000000-0005-0000-0000-000029000000}"/>
    <cellStyle name="Normal 2 7 2" xfId="42" xr:uid="{00000000-0005-0000-0000-00002A000000}"/>
    <cellStyle name="Normal 2 7 3" xfId="43" xr:uid="{00000000-0005-0000-0000-00002B000000}"/>
    <cellStyle name="Normal 2 8" xfId="44" xr:uid="{00000000-0005-0000-0000-00002C000000}"/>
    <cellStyle name="Normal 3" xfId="45" xr:uid="{00000000-0005-0000-0000-00002D000000}"/>
    <cellStyle name="Normal 3 2" xfId="46" xr:uid="{00000000-0005-0000-0000-00002E000000}"/>
    <cellStyle name="Normal 3 2 2" xfId="61" xr:uid="{00000000-0005-0000-0000-00002F000000}"/>
    <cellStyle name="Normal 3 2 2 2" xfId="71" xr:uid="{00000000-0005-0000-0000-000030000000}"/>
    <cellStyle name="Normal 3 2 2 2 2" xfId="91" xr:uid="{00000000-0005-0000-0000-000031000000}"/>
    <cellStyle name="Normal 3 2 2 2 2 2" xfId="171" xr:uid="{00000000-0005-0000-0000-000032000000}"/>
    <cellStyle name="Normal 3 2 2 2 2 2 2" xfId="291" xr:uid="{00000000-0005-0000-0000-000033000000}"/>
    <cellStyle name="Normal 3 2 2 2 2 3" xfId="211" xr:uid="{00000000-0005-0000-0000-000034000000}"/>
    <cellStyle name="Normal 3 2 2 2 3" xfId="111" xr:uid="{00000000-0005-0000-0000-000035000000}"/>
    <cellStyle name="Normal 3 2 2 2 3 2" xfId="151" xr:uid="{00000000-0005-0000-0000-000036000000}"/>
    <cellStyle name="Normal 3 2 2 2 3 2 2" xfId="271" xr:uid="{00000000-0005-0000-0000-000037000000}"/>
    <cellStyle name="Normal 3 2 2 2 3 3" xfId="231" xr:uid="{00000000-0005-0000-0000-000038000000}"/>
    <cellStyle name="Normal 3 2 2 2 4" xfId="131" xr:uid="{00000000-0005-0000-0000-000039000000}"/>
    <cellStyle name="Normal 3 2 2 2 4 2" xfId="251" xr:uid="{00000000-0005-0000-0000-00003A000000}"/>
    <cellStyle name="Normal 3 2 2 2 5" xfId="191" xr:uid="{00000000-0005-0000-0000-00003B000000}"/>
    <cellStyle name="Normal 3 2 2 3" xfId="81" xr:uid="{00000000-0005-0000-0000-00003C000000}"/>
    <cellStyle name="Normal 3 2 2 3 2" xfId="161" xr:uid="{00000000-0005-0000-0000-00003D000000}"/>
    <cellStyle name="Normal 3 2 2 3 2 2" xfId="281" xr:uid="{00000000-0005-0000-0000-00003E000000}"/>
    <cellStyle name="Normal 3 2 2 3 3" xfId="201" xr:uid="{00000000-0005-0000-0000-00003F000000}"/>
    <cellStyle name="Normal 3 2 2 4" xfId="101" xr:uid="{00000000-0005-0000-0000-000040000000}"/>
    <cellStyle name="Normal 3 2 2 4 2" xfId="141" xr:uid="{00000000-0005-0000-0000-000041000000}"/>
    <cellStyle name="Normal 3 2 2 4 2 2" xfId="261" xr:uid="{00000000-0005-0000-0000-000042000000}"/>
    <cellStyle name="Normal 3 2 2 4 3" xfId="221" xr:uid="{00000000-0005-0000-0000-000043000000}"/>
    <cellStyle name="Normal 3 2 2 5" xfId="121" xr:uid="{00000000-0005-0000-0000-000044000000}"/>
    <cellStyle name="Normal 3 2 2 5 2" xfId="241" xr:uid="{00000000-0005-0000-0000-000045000000}"/>
    <cellStyle name="Normal 3 2 2 6" xfId="181" xr:uid="{00000000-0005-0000-0000-000046000000}"/>
    <cellStyle name="Normal 3 2 3" xfId="66" xr:uid="{00000000-0005-0000-0000-000047000000}"/>
    <cellStyle name="Normal 3 2 3 2" xfId="86" xr:uid="{00000000-0005-0000-0000-000048000000}"/>
    <cellStyle name="Normal 3 2 3 2 2" xfId="166" xr:uid="{00000000-0005-0000-0000-000049000000}"/>
    <cellStyle name="Normal 3 2 3 2 2 2" xfId="286" xr:uid="{00000000-0005-0000-0000-00004A000000}"/>
    <cellStyle name="Normal 3 2 3 2 3" xfId="206" xr:uid="{00000000-0005-0000-0000-00004B000000}"/>
    <cellStyle name="Normal 3 2 3 3" xfId="106" xr:uid="{00000000-0005-0000-0000-00004C000000}"/>
    <cellStyle name="Normal 3 2 3 3 2" xfId="146" xr:uid="{00000000-0005-0000-0000-00004D000000}"/>
    <cellStyle name="Normal 3 2 3 3 2 2" xfId="266" xr:uid="{00000000-0005-0000-0000-00004E000000}"/>
    <cellStyle name="Normal 3 2 3 3 3" xfId="226" xr:uid="{00000000-0005-0000-0000-00004F000000}"/>
    <cellStyle name="Normal 3 2 3 4" xfId="126" xr:uid="{00000000-0005-0000-0000-000050000000}"/>
    <cellStyle name="Normal 3 2 3 4 2" xfId="246" xr:uid="{00000000-0005-0000-0000-000051000000}"/>
    <cellStyle name="Normal 3 2 3 5" xfId="186" xr:uid="{00000000-0005-0000-0000-000052000000}"/>
    <cellStyle name="Normal 3 2 4" xfId="76" xr:uid="{00000000-0005-0000-0000-000053000000}"/>
    <cellStyle name="Normal 3 2 4 2" xfId="156" xr:uid="{00000000-0005-0000-0000-000054000000}"/>
    <cellStyle name="Normal 3 2 4 2 2" xfId="276" xr:uid="{00000000-0005-0000-0000-000055000000}"/>
    <cellStyle name="Normal 3 2 4 3" xfId="196" xr:uid="{00000000-0005-0000-0000-000056000000}"/>
    <cellStyle name="Normal 3 2 5" xfId="96" xr:uid="{00000000-0005-0000-0000-000057000000}"/>
    <cellStyle name="Normal 3 2 5 2" xfId="136" xr:uid="{00000000-0005-0000-0000-000058000000}"/>
    <cellStyle name="Normal 3 2 5 2 2" xfId="256" xr:uid="{00000000-0005-0000-0000-000059000000}"/>
    <cellStyle name="Normal 3 2 5 3" xfId="216" xr:uid="{00000000-0005-0000-0000-00005A000000}"/>
    <cellStyle name="Normal 3 2 6" xfId="116" xr:uid="{00000000-0005-0000-0000-00005B000000}"/>
    <cellStyle name="Normal 3 2 6 2" xfId="236" xr:uid="{00000000-0005-0000-0000-00005C000000}"/>
    <cellStyle name="Normal 3 2 7" xfId="176" xr:uid="{00000000-0005-0000-0000-00005D000000}"/>
    <cellStyle name="Normal 3 3" xfId="47" xr:uid="{00000000-0005-0000-0000-00005E000000}"/>
    <cellStyle name="Normal 3 3 2" xfId="62" xr:uid="{00000000-0005-0000-0000-00005F000000}"/>
    <cellStyle name="Normal 3 3 2 2" xfId="72" xr:uid="{00000000-0005-0000-0000-000060000000}"/>
    <cellStyle name="Normal 3 3 2 2 2" xfId="92" xr:uid="{00000000-0005-0000-0000-000061000000}"/>
    <cellStyle name="Normal 3 3 2 2 2 2" xfId="172" xr:uid="{00000000-0005-0000-0000-000062000000}"/>
    <cellStyle name="Normal 3 3 2 2 2 2 2" xfId="292" xr:uid="{00000000-0005-0000-0000-000063000000}"/>
    <cellStyle name="Normal 3 3 2 2 2 3" xfId="212" xr:uid="{00000000-0005-0000-0000-000064000000}"/>
    <cellStyle name="Normal 3 3 2 2 3" xfId="112" xr:uid="{00000000-0005-0000-0000-000065000000}"/>
    <cellStyle name="Normal 3 3 2 2 3 2" xfId="152" xr:uid="{00000000-0005-0000-0000-000066000000}"/>
    <cellStyle name="Normal 3 3 2 2 3 2 2" xfId="272" xr:uid="{00000000-0005-0000-0000-000067000000}"/>
    <cellStyle name="Normal 3 3 2 2 3 3" xfId="232" xr:uid="{00000000-0005-0000-0000-000068000000}"/>
    <cellStyle name="Normal 3 3 2 2 4" xfId="132" xr:uid="{00000000-0005-0000-0000-000069000000}"/>
    <cellStyle name="Normal 3 3 2 2 4 2" xfId="252" xr:uid="{00000000-0005-0000-0000-00006A000000}"/>
    <cellStyle name="Normal 3 3 2 2 5" xfId="192" xr:uid="{00000000-0005-0000-0000-00006B000000}"/>
    <cellStyle name="Normal 3 3 2 3" xfId="82" xr:uid="{00000000-0005-0000-0000-00006C000000}"/>
    <cellStyle name="Normal 3 3 2 3 2" xfId="162" xr:uid="{00000000-0005-0000-0000-00006D000000}"/>
    <cellStyle name="Normal 3 3 2 3 2 2" xfId="282" xr:uid="{00000000-0005-0000-0000-00006E000000}"/>
    <cellStyle name="Normal 3 3 2 3 3" xfId="202" xr:uid="{00000000-0005-0000-0000-00006F000000}"/>
    <cellStyle name="Normal 3 3 2 4" xfId="102" xr:uid="{00000000-0005-0000-0000-000070000000}"/>
    <cellStyle name="Normal 3 3 2 4 2" xfId="142" xr:uid="{00000000-0005-0000-0000-000071000000}"/>
    <cellStyle name="Normal 3 3 2 4 2 2" xfId="262" xr:uid="{00000000-0005-0000-0000-000072000000}"/>
    <cellStyle name="Normal 3 3 2 4 3" xfId="222" xr:uid="{00000000-0005-0000-0000-000073000000}"/>
    <cellStyle name="Normal 3 3 2 5" xfId="122" xr:uid="{00000000-0005-0000-0000-000074000000}"/>
    <cellStyle name="Normal 3 3 2 5 2" xfId="242" xr:uid="{00000000-0005-0000-0000-000075000000}"/>
    <cellStyle name="Normal 3 3 2 6" xfId="182" xr:uid="{00000000-0005-0000-0000-000076000000}"/>
    <cellStyle name="Normal 3 3 3" xfId="67" xr:uid="{00000000-0005-0000-0000-000077000000}"/>
    <cellStyle name="Normal 3 3 3 2" xfId="87" xr:uid="{00000000-0005-0000-0000-000078000000}"/>
    <cellStyle name="Normal 3 3 3 2 2" xfId="167" xr:uid="{00000000-0005-0000-0000-000079000000}"/>
    <cellStyle name="Normal 3 3 3 2 2 2" xfId="287" xr:uid="{00000000-0005-0000-0000-00007A000000}"/>
    <cellStyle name="Normal 3 3 3 2 3" xfId="207" xr:uid="{00000000-0005-0000-0000-00007B000000}"/>
    <cellStyle name="Normal 3 3 3 3" xfId="107" xr:uid="{00000000-0005-0000-0000-00007C000000}"/>
    <cellStyle name="Normal 3 3 3 3 2" xfId="147" xr:uid="{00000000-0005-0000-0000-00007D000000}"/>
    <cellStyle name="Normal 3 3 3 3 2 2" xfId="267" xr:uid="{00000000-0005-0000-0000-00007E000000}"/>
    <cellStyle name="Normal 3 3 3 3 3" xfId="227" xr:uid="{00000000-0005-0000-0000-00007F000000}"/>
    <cellStyle name="Normal 3 3 3 4" xfId="127" xr:uid="{00000000-0005-0000-0000-000080000000}"/>
    <cellStyle name="Normal 3 3 3 4 2" xfId="247" xr:uid="{00000000-0005-0000-0000-000081000000}"/>
    <cellStyle name="Normal 3 3 3 5" xfId="187" xr:uid="{00000000-0005-0000-0000-000082000000}"/>
    <cellStyle name="Normal 3 3 4" xfId="77" xr:uid="{00000000-0005-0000-0000-000083000000}"/>
    <cellStyle name="Normal 3 3 4 2" xfId="157" xr:uid="{00000000-0005-0000-0000-000084000000}"/>
    <cellStyle name="Normal 3 3 4 2 2" xfId="277" xr:uid="{00000000-0005-0000-0000-000085000000}"/>
    <cellStyle name="Normal 3 3 4 3" xfId="197" xr:uid="{00000000-0005-0000-0000-000086000000}"/>
    <cellStyle name="Normal 3 3 5" xfId="97" xr:uid="{00000000-0005-0000-0000-000087000000}"/>
    <cellStyle name="Normal 3 3 5 2" xfId="137" xr:uid="{00000000-0005-0000-0000-000088000000}"/>
    <cellStyle name="Normal 3 3 5 2 2" xfId="257" xr:uid="{00000000-0005-0000-0000-000089000000}"/>
    <cellStyle name="Normal 3 3 5 3" xfId="217" xr:uid="{00000000-0005-0000-0000-00008A000000}"/>
    <cellStyle name="Normal 3 3 6" xfId="117" xr:uid="{00000000-0005-0000-0000-00008B000000}"/>
    <cellStyle name="Normal 3 3 6 2" xfId="237" xr:uid="{00000000-0005-0000-0000-00008C000000}"/>
    <cellStyle name="Normal 3 3 7" xfId="177" xr:uid="{00000000-0005-0000-0000-00008D000000}"/>
    <cellStyle name="Normal 3 4" xfId="60" xr:uid="{00000000-0005-0000-0000-00008E000000}"/>
    <cellStyle name="Normal 3 4 2" xfId="70" xr:uid="{00000000-0005-0000-0000-00008F000000}"/>
    <cellStyle name="Normal 3 4 2 2" xfId="90" xr:uid="{00000000-0005-0000-0000-000090000000}"/>
    <cellStyle name="Normal 3 4 2 2 2" xfId="170" xr:uid="{00000000-0005-0000-0000-000091000000}"/>
    <cellStyle name="Normal 3 4 2 2 2 2" xfId="290" xr:uid="{00000000-0005-0000-0000-000092000000}"/>
    <cellStyle name="Normal 3 4 2 2 3" xfId="210" xr:uid="{00000000-0005-0000-0000-000093000000}"/>
    <cellStyle name="Normal 3 4 2 3" xfId="110" xr:uid="{00000000-0005-0000-0000-000094000000}"/>
    <cellStyle name="Normal 3 4 2 3 2" xfId="150" xr:uid="{00000000-0005-0000-0000-000095000000}"/>
    <cellStyle name="Normal 3 4 2 3 2 2" xfId="270" xr:uid="{00000000-0005-0000-0000-000096000000}"/>
    <cellStyle name="Normal 3 4 2 3 3" xfId="230" xr:uid="{00000000-0005-0000-0000-000097000000}"/>
    <cellStyle name="Normal 3 4 2 4" xfId="130" xr:uid="{00000000-0005-0000-0000-000098000000}"/>
    <cellStyle name="Normal 3 4 2 4 2" xfId="250" xr:uid="{00000000-0005-0000-0000-000099000000}"/>
    <cellStyle name="Normal 3 4 2 5" xfId="190" xr:uid="{00000000-0005-0000-0000-00009A000000}"/>
    <cellStyle name="Normal 3 4 3" xfId="80" xr:uid="{00000000-0005-0000-0000-00009B000000}"/>
    <cellStyle name="Normal 3 4 3 2" xfId="160" xr:uid="{00000000-0005-0000-0000-00009C000000}"/>
    <cellStyle name="Normal 3 4 3 2 2" xfId="280" xr:uid="{00000000-0005-0000-0000-00009D000000}"/>
    <cellStyle name="Normal 3 4 3 3" xfId="200" xr:uid="{00000000-0005-0000-0000-00009E000000}"/>
    <cellStyle name="Normal 3 4 4" xfId="100" xr:uid="{00000000-0005-0000-0000-00009F000000}"/>
    <cellStyle name="Normal 3 4 4 2" xfId="140" xr:uid="{00000000-0005-0000-0000-0000A0000000}"/>
    <cellStyle name="Normal 3 4 4 2 2" xfId="260" xr:uid="{00000000-0005-0000-0000-0000A1000000}"/>
    <cellStyle name="Normal 3 4 4 3" xfId="220" xr:uid="{00000000-0005-0000-0000-0000A2000000}"/>
    <cellStyle name="Normal 3 4 5" xfId="120" xr:uid="{00000000-0005-0000-0000-0000A3000000}"/>
    <cellStyle name="Normal 3 4 5 2" xfId="240" xr:uid="{00000000-0005-0000-0000-0000A4000000}"/>
    <cellStyle name="Normal 3 4 6" xfId="180" xr:uid="{00000000-0005-0000-0000-0000A5000000}"/>
    <cellStyle name="Normal 3 5" xfId="65" xr:uid="{00000000-0005-0000-0000-0000A6000000}"/>
    <cellStyle name="Normal 3 5 2" xfId="85" xr:uid="{00000000-0005-0000-0000-0000A7000000}"/>
    <cellStyle name="Normal 3 5 2 2" xfId="165" xr:uid="{00000000-0005-0000-0000-0000A8000000}"/>
    <cellStyle name="Normal 3 5 2 2 2" xfId="285" xr:uid="{00000000-0005-0000-0000-0000A9000000}"/>
    <cellStyle name="Normal 3 5 2 3" xfId="205" xr:uid="{00000000-0005-0000-0000-0000AA000000}"/>
    <cellStyle name="Normal 3 5 3" xfId="105" xr:uid="{00000000-0005-0000-0000-0000AB000000}"/>
    <cellStyle name="Normal 3 5 3 2" xfId="145" xr:uid="{00000000-0005-0000-0000-0000AC000000}"/>
    <cellStyle name="Normal 3 5 3 2 2" xfId="265" xr:uid="{00000000-0005-0000-0000-0000AD000000}"/>
    <cellStyle name="Normal 3 5 3 3" xfId="225" xr:uid="{00000000-0005-0000-0000-0000AE000000}"/>
    <cellStyle name="Normal 3 5 4" xfId="125" xr:uid="{00000000-0005-0000-0000-0000AF000000}"/>
    <cellStyle name="Normal 3 5 4 2" xfId="245" xr:uid="{00000000-0005-0000-0000-0000B0000000}"/>
    <cellStyle name="Normal 3 5 5" xfId="185" xr:uid="{00000000-0005-0000-0000-0000B1000000}"/>
    <cellStyle name="Normal 3 6" xfId="75" xr:uid="{00000000-0005-0000-0000-0000B2000000}"/>
    <cellStyle name="Normal 3 6 2" xfId="155" xr:uid="{00000000-0005-0000-0000-0000B3000000}"/>
    <cellStyle name="Normal 3 6 2 2" xfId="275" xr:uid="{00000000-0005-0000-0000-0000B4000000}"/>
    <cellStyle name="Normal 3 6 3" xfId="195" xr:uid="{00000000-0005-0000-0000-0000B5000000}"/>
    <cellStyle name="Normal 3 7" xfId="95" xr:uid="{00000000-0005-0000-0000-0000B6000000}"/>
    <cellStyle name="Normal 3 7 2" xfId="135" xr:uid="{00000000-0005-0000-0000-0000B7000000}"/>
    <cellStyle name="Normal 3 7 2 2" xfId="255" xr:uid="{00000000-0005-0000-0000-0000B8000000}"/>
    <cellStyle name="Normal 3 7 3" xfId="215" xr:uid="{00000000-0005-0000-0000-0000B9000000}"/>
    <cellStyle name="Normal 3 8" xfId="115" xr:uid="{00000000-0005-0000-0000-0000BA000000}"/>
    <cellStyle name="Normal 3 8 2" xfId="235" xr:uid="{00000000-0005-0000-0000-0000BB000000}"/>
    <cellStyle name="Normal 3 9" xfId="175" xr:uid="{00000000-0005-0000-0000-0000BC000000}"/>
    <cellStyle name="Normal 4" xfId="48" xr:uid="{00000000-0005-0000-0000-0000BD000000}"/>
    <cellStyle name="Normal 4 2" xfId="49" xr:uid="{00000000-0005-0000-0000-0000BE000000}"/>
    <cellStyle name="Normal 4 2 2" xfId="64" xr:uid="{00000000-0005-0000-0000-0000BF000000}"/>
    <cellStyle name="Normal 4 2 2 2" xfId="74" xr:uid="{00000000-0005-0000-0000-0000C0000000}"/>
    <cellStyle name="Normal 4 2 2 2 2" xfId="94" xr:uid="{00000000-0005-0000-0000-0000C1000000}"/>
    <cellStyle name="Normal 4 2 2 2 2 2" xfId="174" xr:uid="{00000000-0005-0000-0000-0000C2000000}"/>
    <cellStyle name="Normal 4 2 2 2 2 2 2" xfId="294" xr:uid="{00000000-0005-0000-0000-0000C3000000}"/>
    <cellStyle name="Normal 4 2 2 2 2 3" xfId="214" xr:uid="{00000000-0005-0000-0000-0000C4000000}"/>
    <cellStyle name="Normal 4 2 2 2 3" xfId="114" xr:uid="{00000000-0005-0000-0000-0000C5000000}"/>
    <cellStyle name="Normal 4 2 2 2 3 2" xfId="154" xr:uid="{00000000-0005-0000-0000-0000C6000000}"/>
    <cellStyle name="Normal 4 2 2 2 3 2 2" xfId="274" xr:uid="{00000000-0005-0000-0000-0000C7000000}"/>
    <cellStyle name="Normal 4 2 2 2 3 3" xfId="234" xr:uid="{00000000-0005-0000-0000-0000C8000000}"/>
    <cellStyle name="Normal 4 2 2 2 4" xfId="134" xr:uid="{00000000-0005-0000-0000-0000C9000000}"/>
    <cellStyle name="Normal 4 2 2 2 4 2" xfId="254" xr:uid="{00000000-0005-0000-0000-0000CA000000}"/>
    <cellStyle name="Normal 4 2 2 2 5" xfId="194" xr:uid="{00000000-0005-0000-0000-0000CB000000}"/>
    <cellStyle name="Normal 4 2 2 3" xfId="84" xr:uid="{00000000-0005-0000-0000-0000CC000000}"/>
    <cellStyle name="Normal 4 2 2 3 2" xfId="164" xr:uid="{00000000-0005-0000-0000-0000CD000000}"/>
    <cellStyle name="Normal 4 2 2 3 2 2" xfId="284" xr:uid="{00000000-0005-0000-0000-0000CE000000}"/>
    <cellStyle name="Normal 4 2 2 3 3" xfId="204" xr:uid="{00000000-0005-0000-0000-0000CF000000}"/>
    <cellStyle name="Normal 4 2 2 4" xfId="104" xr:uid="{00000000-0005-0000-0000-0000D0000000}"/>
    <cellStyle name="Normal 4 2 2 4 2" xfId="144" xr:uid="{00000000-0005-0000-0000-0000D1000000}"/>
    <cellStyle name="Normal 4 2 2 4 2 2" xfId="264" xr:uid="{00000000-0005-0000-0000-0000D2000000}"/>
    <cellStyle name="Normal 4 2 2 4 3" xfId="224" xr:uid="{00000000-0005-0000-0000-0000D3000000}"/>
    <cellStyle name="Normal 4 2 2 5" xfId="124" xr:uid="{00000000-0005-0000-0000-0000D4000000}"/>
    <cellStyle name="Normal 4 2 2 5 2" xfId="244" xr:uid="{00000000-0005-0000-0000-0000D5000000}"/>
    <cellStyle name="Normal 4 2 2 6" xfId="184" xr:uid="{00000000-0005-0000-0000-0000D6000000}"/>
    <cellStyle name="Normal 4 2 3" xfId="69" xr:uid="{00000000-0005-0000-0000-0000D7000000}"/>
    <cellStyle name="Normal 4 2 3 2" xfId="89" xr:uid="{00000000-0005-0000-0000-0000D8000000}"/>
    <cellStyle name="Normal 4 2 3 2 2" xfId="169" xr:uid="{00000000-0005-0000-0000-0000D9000000}"/>
    <cellStyle name="Normal 4 2 3 2 2 2" xfId="289" xr:uid="{00000000-0005-0000-0000-0000DA000000}"/>
    <cellStyle name="Normal 4 2 3 2 3" xfId="209" xr:uid="{00000000-0005-0000-0000-0000DB000000}"/>
    <cellStyle name="Normal 4 2 3 3" xfId="109" xr:uid="{00000000-0005-0000-0000-0000DC000000}"/>
    <cellStyle name="Normal 4 2 3 3 2" xfId="149" xr:uid="{00000000-0005-0000-0000-0000DD000000}"/>
    <cellStyle name="Normal 4 2 3 3 2 2" xfId="269" xr:uid="{00000000-0005-0000-0000-0000DE000000}"/>
    <cellStyle name="Normal 4 2 3 3 3" xfId="229" xr:uid="{00000000-0005-0000-0000-0000DF000000}"/>
    <cellStyle name="Normal 4 2 3 4" xfId="129" xr:uid="{00000000-0005-0000-0000-0000E0000000}"/>
    <cellStyle name="Normal 4 2 3 4 2" xfId="249" xr:uid="{00000000-0005-0000-0000-0000E1000000}"/>
    <cellStyle name="Normal 4 2 3 5" xfId="189" xr:uid="{00000000-0005-0000-0000-0000E2000000}"/>
    <cellStyle name="Normal 4 2 4" xfId="79" xr:uid="{00000000-0005-0000-0000-0000E3000000}"/>
    <cellStyle name="Normal 4 2 4 2" xfId="159" xr:uid="{00000000-0005-0000-0000-0000E4000000}"/>
    <cellStyle name="Normal 4 2 4 2 2" xfId="279" xr:uid="{00000000-0005-0000-0000-0000E5000000}"/>
    <cellStyle name="Normal 4 2 4 3" xfId="199" xr:uid="{00000000-0005-0000-0000-0000E6000000}"/>
    <cellStyle name="Normal 4 2 5" xfId="99" xr:uid="{00000000-0005-0000-0000-0000E7000000}"/>
    <cellStyle name="Normal 4 2 5 2" xfId="139" xr:uid="{00000000-0005-0000-0000-0000E8000000}"/>
    <cellStyle name="Normal 4 2 5 2 2" xfId="259" xr:uid="{00000000-0005-0000-0000-0000E9000000}"/>
    <cellStyle name="Normal 4 2 5 3" xfId="219" xr:uid="{00000000-0005-0000-0000-0000EA000000}"/>
    <cellStyle name="Normal 4 2 6" xfId="119" xr:uid="{00000000-0005-0000-0000-0000EB000000}"/>
    <cellStyle name="Normal 4 2 6 2" xfId="239" xr:uid="{00000000-0005-0000-0000-0000EC000000}"/>
    <cellStyle name="Normal 4 2 7" xfId="179" xr:uid="{00000000-0005-0000-0000-0000ED000000}"/>
    <cellStyle name="Normal 4 3" xfId="63" xr:uid="{00000000-0005-0000-0000-0000EE000000}"/>
    <cellStyle name="Normal 4 3 2" xfId="73" xr:uid="{00000000-0005-0000-0000-0000EF000000}"/>
    <cellStyle name="Normal 4 3 2 2" xfId="93" xr:uid="{00000000-0005-0000-0000-0000F0000000}"/>
    <cellStyle name="Normal 4 3 2 2 2" xfId="173" xr:uid="{00000000-0005-0000-0000-0000F1000000}"/>
    <cellStyle name="Normal 4 3 2 2 2 2" xfId="293" xr:uid="{00000000-0005-0000-0000-0000F2000000}"/>
    <cellStyle name="Normal 4 3 2 2 3" xfId="213" xr:uid="{00000000-0005-0000-0000-0000F3000000}"/>
    <cellStyle name="Normal 4 3 2 3" xfId="113" xr:uid="{00000000-0005-0000-0000-0000F4000000}"/>
    <cellStyle name="Normal 4 3 2 3 2" xfId="153" xr:uid="{00000000-0005-0000-0000-0000F5000000}"/>
    <cellStyle name="Normal 4 3 2 3 2 2" xfId="273" xr:uid="{00000000-0005-0000-0000-0000F6000000}"/>
    <cellStyle name="Normal 4 3 2 3 3" xfId="233" xr:uid="{00000000-0005-0000-0000-0000F7000000}"/>
    <cellStyle name="Normal 4 3 2 4" xfId="133" xr:uid="{00000000-0005-0000-0000-0000F8000000}"/>
    <cellStyle name="Normal 4 3 2 4 2" xfId="253" xr:uid="{00000000-0005-0000-0000-0000F9000000}"/>
    <cellStyle name="Normal 4 3 2 5" xfId="193" xr:uid="{00000000-0005-0000-0000-0000FA000000}"/>
    <cellStyle name="Normal 4 3 3" xfId="83" xr:uid="{00000000-0005-0000-0000-0000FB000000}"/>
    <cellStyle name="Normal 4 3 3 2" xfId="163" xr:uid="{00000000-0005-0000-0000-0000FC000000}"/>
    <cellStyle name="Normal 4 3 3 2 2" xfId="283" xr:uid="{00000000-0005-0000-0000-0000FD000000}"/>
    <cellStyle name="Normal 4 3 3 3" xfId="203" xr:uid="{00000000-0005-0000-0000-0000FE000000}"/>
    <cellStyle name="Normal 4 3 4" xfId="103" xr:uid="{00000000-0005-0000-0000-0000FF000000}"/>
    <cellStyle name="Normal 4 3 4 2" xfId="143" xr:uid="{00000000-0005-0000-0000-000000010000}"/>
    <cellStyle name="Normal 4 3 4 2 2" xfId="263" xr:uid="{00000000-0005-0000-0000-000001010000}"/>
    <cellStyle name="Normal 4 3 4 3" xfId="223" xr:uid="{00000000-0005-0000-0000-000002010000}"/>
    <cellStyle name="Normal 4 3 5" xfId="123" xr:uid="{00000000-0005-0000-0000-000003010000}"/>
    <cellStyle name="Normal 4 3 5 2" xfId="243" xr:uid="{00000000-0005-0000-0000-000004010000}"/>
    <cellStyle name="Normal 4 3 6" xfId="183" xr:uid="{00000000-0005-0000-0000-000005010000}"/>
    <cellStyle name="Normal 4 4" xfId="68" xr:uid="{00000000-0005-0000-0000-000006010000}"/>
    <cellStyle name="Normal 4 4 2" xfId="88" xr:uid="{00000000-0005-0000-0000-000007010000}"/>
    <cellStyle name="Normal 4 4 2 2" xfId="168" xr:uid="{00000000-0005-0000-0000-000008010000}"/>
    <cellStyle name="Normal 4 4 2 2 2" xfId="288" xr:uid="{00000000-0005-0000-0000-000009010000}"/>
    <cellStyle name="Normal 4 4 2 3" xfId="208" xr:uid="{00000000-0005-0000-0000-00000A010000}"/>
    <cellStyle name="Normal 4 4 3" xfId="108" xr:uid="{00000000-0005-0000-0000-00000B010000}"/>
    <cellStyle name="Normal 4 4 3 2" xfId="148" xr:uid="{00000000-0005-0000-0000-00000C010000}"/>
    <cellStyle name="Normal 4 4 3 2 2" xfId="268" xr:uid="{00000000-0005-0000-0000-00000D010000}"/>
    <cellStyle name="Normal 4 4 3 3" xfId="228" xr:uid="{00000000-0005-0000-0000-00000E010000}"/>
    <cellStyle name="Normal 4 4 4" xfId="128" xr:uid="{00000000-0005-0000-0000-00000F010000}"/>
    <cellStyle name="Normal 4 4 4 2" xfId="248" xr:uid="{00000000-0005-0000-0000-000010010000}"/>
    <cellStyle name="Normal 4 4 5" xfId="188" xr:uid="{00000000-0005-0000-0000-000011010000}"/>
    <cellStyle name="Normal 4 5" xfId="78" xr:uid="{00000000-0005-0000-0000-000012010000}"/>
    <cellStyle name="Normal 4 5 2" xfId="158" xr:uid="{00000000-0005-0000-0000-000013010000}"/>
    <cellStyle name="Normal 4 5 2 2" xfId="278" xr:uid="{00000000-0005-0000-0000-000014010000}"/>
    <cellStyle name="Normal 4 5 3" xfId="198" xr:uid="{00000000-0005-0000-0000-000015010000}"/>
    <cellStyle name="Normal 4 6" xfId="98" xr:uid="{00000000-0005-0000-0000-000016010000}"/>
    <cellStyle name="Normal 4 6 2" xfId="138" xr:uid="{00000000-0005-0000-0000-000017010000}"/>
    <cellStyle name="Normal 4 6 2 2" xfId="258" xr:uid="{00000000-0005-0000-0000-000018010000}"/>
    <cellStyle name="Normal 4 6 3" xfId="218" xr:uid="{00000000-0005-0000-0000-000019010000}"/>
    <cellStyle name="Normal 4 7" xfId="118" xr:uid="{00000000-0005-0000-0000-00001A010000}"/>
    <cellStyle name="Normal 4 7 2" xfId="238" xr:uid="{00000000-0005-0000-0000-00001B010000}"/>
    <cellStyle name="Normal 4 8" xfId="178" xr:uid="{00000000-0005-0000-0000-00001C010000}"/>
    <cellStyle name="Normal 5" xfId="50" xr:uid="{00000000-0005-0000-0000-00001D010000}"/>
    <cellStyle name="Normal 5 2" xfId="51" xr:uid="{00000000-0005-0000-0000-00001E010000}"/>
    <cellStyle name="Normal 6" xfId="52" xr:uid="{00000000-0005-0000-0000-00001F010000}"/>
    <cellStyle name="Normal 7" xfId="53" xr:uid="{00000000-0005-0000-0000-000020010000}"/>
    <cellStyle name="Normal 8" xfId="54" xr:uid="{00000000-0005-0000-0000-000021010000}"/>
    <cellStyle name="Normal 8 2" xfId="55" xr:uid="{00000000-0005-0000-0000-000022010000}"/>
    <cellStyle name="Normal_Estimated Flow-OE" xfId="56" xr:uid="{00000000-0005-0000-0000-000023010000}"/>
    <cellStyle name="Normal_Existing Dwellings" xfId="57" xr:uid="{00000000-0005-0000-0000-000024010000}"/>
    <cellStyle name="Normal_Filter" xfId="58" xr:uid="{00000000-0005-0000-0000-000025010000}"/>
    <cellStyle name="Normal_Sheet9" xfId="59" xr:uid="{00000000-0005-0000-0000-00002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FE5E9"/>
      <rgbColor rgb="004B7B6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139174"/>
      <rgbColor rgb="00003366"/>
      <rgbColor rgb="00339966"/>
      <rgbColor rgb="00003300"/>
      <rgbColor rgb="00333300"/>
      <rgbColor rgb="00993300"/>
      <rgbColor rgb="00993366"/>
      <rgbColor rgb="00333399"/>
      <rgbColor rgb="00333333"/>
    </indexedColors>
    <mruColors>
      <color rgb="FFFFFF99"/>
      <color rgb="FFCFE5E9"/>
      <color rgb="FF66FF33"/>
      <color rgb="FF339966"/>
      <color rgb="FFB5D0E3"/>
      <color rgb="FFFF6600"/>
      <color rgb="FFFF9966"/>
      <color rgb="FF00CC66"/>
      <color rgb="FF009999"/>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jpeg"/><Relationship Id="rId6" Type="http://schemas.openxmlformats.org/officeDocument/2006/relationships/image" Target="../media/image6.tif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jpeg"/><Relationship Id="rId1" Type="http://schemas.openxmlformats.org/officeDocument/2006/relationships/image" Target="../media/image9.png"/><Relationship Id="rId5" Type="http://schemas.openxmlformats.org/officeDocument/2006/relationships/image" Target="../media/image12.png"/><Relationship Id="rId4" Type="http://schemas.openxmlformats.org/officeDocument/2006/relationships/image" Target="../media/image6.tiff"/></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jpeg"/><Relationship Id="rId1" Type="http://schemas.openxmlformats.org/officeDocument/2006/relationships/image" Target="../media/image13.jpeg"/><Relationship Id="rId5" Type="http://schemas.openxmlformats.org/officeDocument/2006/relationships/image" Target="../media/image5.png"/><Relationship Id="rId4" Type="http://schemas.openxmlformats.org/officeDocument/2006/relationships/image" Target="../media/image6.tiff"/></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6.tiff"/><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14</xdr:col>
      <xdr:colOff>152400</xdr:colOff>
      <xdr:row>64</xdr:row>
      <xdr:rowOff>123825</xdr:rowOff>
    </xdr:from>
    <xdr:to>
      <xdr:col>17</xdr:col>
      <xdr:colOff>333375</xdr:colOff>
      <xdr:row>75</xdr:row>
      <xdr:rowOff>28575</xdr:rowOff>
    </xdr:to>
    <xdr:pic>
      <xdr:nvPicPr>
        <xdr:cNvPr id="3001453" name="Picture 99" descr="Volume of Pipe">
          <a:extLst>
            <a:ext uri="{FF2B5EF4-FFF2-40B4-BE49-F238E27FC236}">
              <a16:creationId xmlns:a16="http://schemas.microsoft.com/office/drawing/2014/main" id="{00000000-0008-0000-1600-00006DCC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14" b="-2"/>
        <a:stretch>
          <a:fillRect/>
        </a:stretch>
      </xdr:blipFill>
      <xdr:spPr bwMode="auto">
        <a:xfrm>
          <a:off x="5086350" y="12896850"/>
          <a:ext cx="123825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25</xdr:row>
      <xdr:rowOff>28575</xdr:rowOff>
    </xdr:from>
    <xdr:to>
      <xdr:col>17</xdr:col>
      <xdr:colOff>314325</xdr:colOff>
      <xdr:row>31</xdr:row>
      <xdr:rowOff>66675</xdr:rowOff>
    </xdr:to>
    <xdr:pic>
      <xdr:nvPicPr>
        <xdr:cNvPr id="3001457" name="Picture 391">
          <a:extLst>
            <a:ext uri="{FF2B5EF4-FFF2-40B4-BE49-F238E27FC236}">
              <a16:creationId xmlns:a16="http://schemas.microsoft.com/office/drawing/2014/main" id="{00000000-0008-0000-1600-000071CC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4994275"/>
          <a:ext cx="66357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120651</xdr:colOff>
      <xdr:row>43</xdr:row>
      <xdr:rowOff>25400</xdr:rowOff>
    </xdr:from>
    <xdr:to>
      <xdr:col>17</xdr:col>
      <xdr:colOff>355601</xdr:colOff>
      <xdr:row>53</xdr:row>
      <xdr:rowOff>66675</xdr:rowOff>
    </xdr:to>
    <xdr:pic>
      <xdr:nvPicPr>
        <xdr:cNvPr id="3001460" name="Picture 10" descr="Perforation Discharge.JPG">
          <a:extLst>
            <a:ext uri="{FF2B5EF4-FFF2-40B4-BE49-F238E27FC236}">
              <a16:creationId xmlns:a16="http://schemas.microsoft.com/office/drawing/2014/main" id="{00000000-0008-0000-1600-000074CC2D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35555"/>
        <a:stretch/>
      </xdr:blipFill>
      <xdr:spPr bwMode="auto">
        <a:xfrm>
          <a:off x="4826001" y="11017250"/>
          <a:ext cx="1682750" cy="175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238125</xdr:colOff>
      <xdr:row>9</xdr:row>
      <xdr:rowOff>28575</xdr:rowOff>
    </xdr:from>
    <xdr:to>
      <xdr:col>17</xdr:col>
      <xdr:colOff>304800</xdr:colOff>
      <xdr:row>13</xdr:row>
      <xdr:rowOff>133350</xdr:rowOff>
    </xdr:to>
    <xdr:pic>
      <xdr:nvPicPr>
        <xdr:cNvPr id="3001461" name="Picture 10" descr="11.20_Lateral_end_specs.tif">
          <a:extLst>
            <a:ext uri="{FF2B5EF4-FFF2-40B4-BE49-F238E27FC236}">
              <a16:creationId xmlns:a16="http://schemas.microsoft.com/office/drawing/2014/main" id="{00000000-0008-0000-1600-000075CC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5063"/>
        <a:stretch>
          <a:fillRect/>
        </a:stretch>
      </xdr:blipFill>
      <xdr:spPr bwMode="auto">
        <a:xfrm>
          <a:off x="4114800" y="2238375"/>
          <a:ext cx="2181225" cy="781050"/>
        </a:xfrm>
        <a:prstGeom prst="rect">
          <a:avLst/>
        </a:prstGeom>
        <a:noFill/>
        <a:ln w="9525">
          <a:solidFill>
            <a:srgbClr val="0D0D0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247650</xdr:colOff>
      <xdr:row>0</xdr:row>
      <xdr:rowOff>66675</xdr:rowOff>
    </xdr:from>
    <xdr:to>
      <xdr:col>17</xdr:col>
      <xdr:colOff>272524</xdr:colOff>
      <xdr:row>0</xdr:row>
      <xdr:rowOff>615315</xdr:rowOff>
    </xdr:to>
    <xdr:pic>
      <xdr:nvPicPr>
        <xdr:cNvPr id="11" name="Picture 10">
          <a:extLst>
            <a:ext uri="{FF2B5EF4-FFF2-40B4-BE49-F238E27FC236}">
              <a16:creationId xmlns:a16="http://schemas.microsoft.com/office/drawing/2014/main" id="{00000000-0008-0000-16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476750" y="66675"/>
          <a:ext cx="1786999" cy="548640"/>
        </a:xfrm>
        <a:prstGeom prst="rect">
          <a:avLst/>
        </a:prstGeom>
      </xdr:spPr>
    </xdr:pic>
    <xdr:clientData/>
  </xdr:twoCellAnchor>
  <xdr:twoCellAnchor editAs="oneCell">
    <xdr:from>
      <xdr:col>0</xdr:col>
      <xdr:colOff>66675</xdr:colOff>
      <xdr:row>0</xdr:row>
      <xdr:rowOff>66675</xdr:rowOff>
    </xdr:from>
    <xdr:to>
      <xdr:col>4</xdr:col>
      <xdr:colOff>38100</xdr:colOff>
      <xdr:row>0</xdr:row>
      <xdr:rowOff>615315</xdr:rowOff>
    </xdr:to>
    <xdr:pic>
      <xdr:nvPicPr>
        <xdr:cNvPr id="12" name="Picture 11">
          <a:extLst>
            <a:ext uri="{FF2B5EF4-FFF2-40B4-BE49-F238E27FC236}">
              <a16:creationId xmlns:a16="http://schemas.microsoft.com/office/drawing/2014/main" id="{00000000-0008-0000-16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 y="66675"/>
          <a:ext cx="1381125" cy="548640"/>
        </a:xfrm>
        <a:prstGeom prst="rect">
          <a:avLst/>
        </a:prstGeom>
      </xdr:spPr>
    </xdr:pic>
    <xdr:clientData/>
  </xdr:twoCellAnchor>
  <xdr:twoCellAnchor editAs="oneCell">
    <xdr:from>
      <xdr:col>8</xdr:col>
      <xdr:colOff>292100</xdr:colOff>
      <xdr:row>32</xdr:row>
      <xdr:rowOff>146050</xdr:rowOff>
    </xdr:from>
    <xdr:to>
      <xdr:col>17</xdr:col>
      <xdr:colOff>254000</xdr:colOff>
      <xdr:row>32</xdr:row>
      <xdr:rowOff>1527175</xdr:rowOff>
    </xdr:to>
    <xdr:pic>
      <xdr:nvPicPr>
        <xdr:cNvPr id="10" name="Picture 111" descr="E-03 Manifold in Center">
          <a:extLst>
            <a:ext uri="{FF2B5EF4-FFF2-40B4-BE49-F238E27FC236}">
              <a16:creationId xmlns:a16="http://schemas.microsoft.com/office/drawing/2014/main" id="{00000000-0008-0000-16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89300" y="7816850"/>
          <a:ext cx="3333750" cy="1381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82550</xdr:colOff>
      <xdr:row>32</xdr:row>
      <xdr:rowOff>133350</xdr:rowOff>
    </xdr:from>
    <xdr:to>
      <xdr:col>8</xdr:col>
      <xdr:colOff>215900</xdr:colOff>
      <xdr:row>32</xdr:row>
      <xdr:rowOff>1524000</xdr:rowOff>
    </xdr:to>
    <xdr:pic>
      <xdr:nvPicPr>
        <xdr:cNvPr id="13" name="Picture 112" descr="E-02 manifold at End">
          <a:extLst>
            <a:ext uri="{FF2B5EF4-FFF2-40B4-BE49-F238E27FC236}">
              <a16:creationId xmlns:a16="http://schemas.microsoft.com/office/drawing/2014/main" id="{00000000-0008-0000-1600-00000D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2550" y="7804150"/>
          <a:ext cx="3130550" cy="1390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400050</xdr:colOff>
      <xdr:row>11</xdr:row>
      <xdr:rowOff>19050</xdr:rowOff>
    </xdr:from>
    <xdr:to>
      <xdr:col>18</xdr:col>
      <xdr:colOff>419100</xdr:colOff>
      <xdr:row>19</xdr:row>
      <xdr:rowOff>19050</xdr:rowOff>
    </xdr:to>
    <xdr:pic>
      <xdr:nvPicPr>
        <xdr:cNvPr id="2965246" name="Picture 66" descr="Pump selection">
          <a:extLst>
            <a:ext uri="{FF2B5EF4-FFF2-40B4-BE49-F238E27FC236}">
              <a16:creationId xmlns:a16="http://schemas.microsoft.com/office/drawing/2014/main" id="{00000000-0008-0000-1800-0000FE3E2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2381250"/>
          <a:ext cx="3600450" cy="1400175"/>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20</xdr:row>
      <xdr:rowOff>219075</xdr:rowOff>
    </xdr:from>
    <xdr:to>
      <xdr:col>11</xdr:col>
      <xdr:colOff>38100</xdr:colOff>
      <xdr:row>26</xdr:row>
      <xdr:rowOff>47625</xdr:rowOff>
    </xdr:to>
    <xdr:pic>
      <xdr:nvPicPr>
        <xdr:cNvPr id="2965247" name="Picture 68" descr="Distribution Head Loss">
          <a:extLst>
            <a:ext uri="{FF2B5EF4-FFF2-40B4-BE49-F238E27FC236}">
              <a16:creationId xmlns:a16="http://schemas.microsoft.com/office/drawing/2014/main" id="{00000000-0008-0000-1800-0000FF3E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4057650"/>
          <a:ext cx="4667250" cy="16002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428625</xdr:colOff>
      <xdr:row>19</xdr:row>
      <xdr:rowOff>57150</xdr:rowOff>
    </xdr:from>
    <xdr:to>
      <xdr:col>19</xdr:col>
      <xdr:colOff>0</xdr:colOff>
      <xdr:row>39</xdr:row>
      <xdr:rowOff>66675</xdr:rowOff>
    </xdr:to>
    <xdr:pic>
      <xdr:nvPicPr>
        <xdr:cNvPr id="2965251" name="Picture 2253">
          <a:extLst>
            <a:ext uri="{FF2B5EF4-FFF2-40B4-BE49-F238E27FC236}">
              <a16:creationId xmlns:a16="http://schemas.microsoft.com/office/drawing/2014/main" id="{00000000-0008-0000-1800-0000033F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53025" y="3819525"/>
          <a:ext cx="314325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76200</xdr:rowOff>
    </xdr:from>
    <xdr:to>
      <xdr:col>3</xdr:col>
      <xdr:colOff>285750</xdr:colOff>
      <xdr:row>0</xdr:row>
      <xdr:rowOff>624840</xdr:rowOff>
    </xdr:to>
    <xdr:pic>
      <xdr:nvPicPr>
        <xdr:cNvPr id="8" name="Picture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 y="76200"/>
          <a:ext cx="1381125" cy="548640"/>
        </a:xfrm>
        <a:prstGeom prst="rect">
          <a:avLst/>
        </a:prstGeom>
      </xdr:spPr>
    </xdr:pic>
    <xdr:clientData/>
  </xdr:twoCellAnchor>
  <xdr:twoCellAnchor editAs="oneCell">
    <xdr:from>
      <xdr:col>14</xdr:col>
      <xdr:colOff>180975</xdr:colOff>
      <xdr:row>0</xdr:row>
      <xdr:rowOff>76200</xdr:rowOff>
    </xdr:from>
    <xdr:to>
      <xdr:col>18</xdr:col>
      <xdr:colOff>177274</xdr:colOff>
      <xdr:row>0</xdr:row>
      <xdr:rowOff>624840</xdr:rowOff>
    </xdr:to>
    <xdr:pic>
      <xdr:nvPicPr>
        <xdr:cNvPr id="9" name="Picture 8">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48400" y="76200"/>
          <a:ext cx="1786999" cy="54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32</xdr:col>
      <xdr:colOff>342900</xdr:colOff>
      <xdr:row>0</xdr:row>
      <xdr:rowOff>619125</xdr:rowOff>
    </xdr:from>
    <xdr:to>
      <xdr:col>36</xdr:col>
      <xdr:colOff>438150</xdr:colOff>
      <xdr:row>10</xdr:row>
      <xdr:rowOff>123825</xdr:rowOff>
    </xdr:to>
    <xdr:grpSp>
      <xdr:nvGrpSpPr>
        <xdr:cNvPr id="2995784" name="Group 1363">
          <a:extLst>
            <a:ext uri="{FF2B5EF4-FFF2-40B4-BE49-F238E27FC236}">
              <a16:creationId xmlns:a16="http://schemas.microsoft.com/office/drawing/2014/main" id="{00000000-0008-0000-1900-000048B62D00}"/>
            </a:ext>
          </a:extLst>
        </xdr:cNvPr>
        <xdr:cNvGrpSpPr>
          <a:grpSpLocks/>
        </xdr:cNvGrpSpPr>
      </xdr:nvGrpSpPr>
      <xdr:grpSpPr bwMode="auto">
        <a:xfrm>
          <a:off x="15030450" y="619125"/>
          <a:ext cx="1800225" cy="1800225"/>
          <a:chOff x="557" y="117"/>
          <a:chExt cx="209" cy="169"/>
        </a:xfrm>
      </xdr:grpSpPr>
      <xdr:grpSp>
        <xdr:nvGrpSpPr>
          <xdr:cNvPr id="2995791" name="Group 1362">
            <a:extLst>
              <a:ext uri="{FF2B5EF4-FFF2-40B4-BE49-F238E27FC236}">
                <a16:creationId xmlns:a16="http://schemas.microsoft.com/office/drawing/2014/main" id="{00000000-0008-0000-1900-00004FB62D00}"/>
              </a:ext>
            </a:extLst>
          </xdr:cNvPr>
          <xdr:cNvGrpSpPr>
            <a:grpSpLocks/>
          </xdr:cNvGrpSpPr>
        </xdr:nvGrpSpPr>
        <xdr:grpSpPr bwMode="auto">
          <a:xfrm>
            <a:off x="557" y="117"/>
            <a:ext cx="209" cy="169"/>
            <a:chOff x="557" y="117"/>
            <a:chExt cx="209" cy="169"/>
          </a:xfrm>
        </xdr:grpSpPr>
        <xdr:sp macro="" textlink="">
          <xdr:nvSpPr>
            <xdr:cNvPr id="2995793" name="Oval 3">
              <a:extLst>
                <a:ext uri="{FF2B5EF4-FFF2-40B4-BE49-F238E27FC236}">
                  <a16:creationId xmlns:a16="http://schemas.microsoft.com/office/drawing/2014/main" id="{00000000-0008-0000-1900-000051B62D00}"/>
                </a:ext>
              </a:extLst>
            </xdr:cNvPr>
            <xdr:cNvSpPr>
              <a:spLocks noChangeArrowheads="1"/>
            </xdr:cNvSpPr>
          </xdr:nvSpPr>
          <xdr:spPr bwMode="auto">
            <a:xfrm>
              <a:off x="661" y="225"/>
              <a:ext cx="81" cy="61"/>
            </a:xfrm>
            <a:prstGeom prst="ellipse">
              <a:avLst/>
            </a:prstGeom>
            <a:solidFill>
              <a:srgbClr val="FFFFFF"/>
            </a:solidFill>
            <a:ln w="9525">
              <a:solidFill>
                <a:srgbClr val="000000"/>
              </a:solidFill>
              <a:round/>
              <a:headEnd/>
              <a:tailEnd/>
            </a:ln>
          </xdr:spPr>
        </xdr:sp>
        <xdr:sp macro="" textlink="">
          <xdr:nvSpPr>
            <xdr:cNvPr id="2995794" name="Rectangle 4">
              <a:extLst>
                <a:ext uri="{FF2B5EF4-FFF2-40B4-BE49-F238E27FC236}">
                  <a16:creationId xmlns:a16="http://schemas.microsoft.com/office/drawing/2014/main" id="{00000000-0008-0000-1900-000052B62D00}"/>
                </a:ext>
              </a:extLst>
            </xdr:cNvPr>
            <xdr:cNvSpPr>
              <a:spLocks noChangeArrowheads="1"/>
            </xdr:cNvSpPr>
          </xdr:nvSpPr>
          <xdr:spPr bwMode="auto">
            <a:xfrm>
              <a:off x="557" y="118"/>
              <a:ext cx="125" cy="63"/>
            </a:xfrm>
            <a:prstGeom prst="rect">
              <a:avLst/>
            </a:prstGeom>
            <a:solidFill>
              <a:srgbClr val="FFFFFF"/>
            </a:solidFill>
            <a:ln w="9525">
              <a:solidFill>
                <a:srgbClr val="000000"/>
              </a:solidFill>
              <a:miter lim="800000"/>
              <a:headEnd/>
              <a:tailEnd/>
            </a:ln>
          </xdr:spPr>
        </xdr:sp>
        <xdr:sp macro="" textlink="">
          <xdr:nvSpPr>
            <xdr:cNvPr id="2995795" name="Line 5">
              <a:extLst>
                <a:ext uri="{FF2B5EF4-FFF2-40B4-BE49-F238E27FC236}">
                  <a16:creationId xmlns:a16="http://schemas.microsoft.com/office/drawing/2014/main" id="{00000000-0008-0000-1900-000053B62D00}"/>
                </a:ext>
              </a:extLst>
            </xdr:cNvPr>
            <xdr:cNvSpPr>
              <a:spLocks noChangeShapeType="1"/>
            </xdr:cNvSpPr>
          </xdr:nvSpPr>
          <xdr:spPr bwMode="auto">
            <a:xfrm>
              <a:off x="557" y="196"/>
              <a:ext cx="12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95796" name="Line 6">
              <a:extLst>
                <a:ext uri="{FF2B5EF4-FFF2-40B4-BE49-F238E27FC236}">
                  <a16:creationId xmlns:a16="http://schemas.microsoft.com/office/drawing/2014/main" id="{00000000-0008-0000-1900-000054B62D00}"/>
                </a:ext>
              </a:extLst>
            </xdr:cNvPr>
            <xdr:cNvSpPr>
              <a:spLocks noChangeShapeType="1"/>
            </xdr:cNvSpPr>
          </xdr:nvSpPr>
          <xdr:spPr bwMode="auto">
            <a:xfrm>
              <a:off x="701" y="117"/>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31" name="Text Box 7">
              <a:extLst>
                <a:ext uri="{FF2B5EF4-FFF2-40B4-BE49-F238E27FC236}">
                  <a16:creationId xmlns:a16="http://schemas.microsoft.com/office/drawing/2014/main" id="{00000000-0008-0000-1900-00001F000000}"/>
                </a:ext>
              </a:extLst>
            </xdr:cNvPr>
            <xdr:cNvSpPr txBox="1">
              <a:spLocks noChangeArrowheads="1"/>
            </xdr:cNvSpPr>
          </xdr:nvSpPr>
          <xdr:spPr bwMode="auto">
            <a:xfrm>
              <a:off x="713" y="129"/>
              <a:ext cx="53" cy="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Width</a:t>
              </a:r>
            </a:p>
          </xdr:txBody>
        </xdr:sp>
        <xdr:sp macro="" textlink="">
          <xdr:nvSpPr>
            <xdr:cNvPr id="32" name="Text Box 8">
              <a:extLst>
                <a:ext uri="{FF2B5EF4-FFF2-40B4-BE49-F238E27FC236}">
                  <a16:creationId xmlns:a16="http://schemas.microsoft.com/office/drawing/2014/main" id="{00000000-0008-0000-1900-000020000000}"/>
                </a:ext>
              </a:extLst>
            </xdr:cNvPr>
            <xdr:cNvSpPr txBox="1">
              <a:spLocks noChangeArrowheads="1"/>
            </xdr:cNvSpPr>
          </xdr:nvSpPr>
          <xdr:spPr bwMode="auto">
            <a:xfrm>
              <a:off x="574" y="200"/>
              <a:ext cx="77" cy="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Length</a:t>
              </a:r>
            </a:p>
          </xdr:txBody>
        </xdr:sp>
        <xdr:sp macro="" textlink="">
          <xdr:nvSpPr>
            <xdr:cNvPr id="33" name="Text Box 9">
              <a:extLst>
                <a:ext uri="{FF2B5EF4-FFF2-40B4-BE49-F238E27FC236}">
                  <a16:creationId xmlns:a16="http://schemas.microsoft.com/office/drawing/2014/main" id="{00000000-0008-0000-1900-000021000000}"/>
                </a:ext>
              </a:extLst>
            </xdr:cNvPr>
            <xdr:cNvSpPr txBox="1">
              <a:spLocks noChangeArrowheads="1"/>
            </xdr:cNvSpPr>
          </xdr:nvSpPr>
          <xdr:spPr bwMode="auto">
            <a:xfrm>
              <a:off x="696" y="256"/>
              <a:ext cx="53" cy="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Radius</a:t>
              </a:r>
            </a:p>
          </xdr:txBody>
        </xdr:sp>
      </xdr:grpSp>
      <xdr:sp macro="" textlink="">
        <xdr:nvSpPr>
          <xdr:cNvPr id="2995792" name="Line 10">
            <a:extLst>
              <a:ext uri="{FF2B5EF4-FFF2-40B4-BE49-F238E27FC236}">
                <a16:creationId xmlns:a16="http://schemas.microsoft.com/office/drawing/2014/main" id="{00000000-0008-0000-1900-000050B62D00}"/>
              </a:ext>
            </a:extLst>
          </xdr:cNvPr>
          <xdr:cNvSpPr>
            <a:spLocks noChangeShapeType="1"/>
          </xdr:cNvSpPr>
        </xdr:nvSpPr>
        <xdr:spPr bwMode="auto">
          <a:xfrm>
            <a:off x="699" y="254"/>
            <a:ext cx="42" cy="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20</xdr:col>
      <xdr:colOff>133350</xdr:colOff>
      <xdr:row>37</xdr:row>
      <xdr:rowOff>57150</xdr:rowOff>
    </xdr:from>
    <xdr:to>
      <xdr:col>28</xdr:col>
      <xdr:colOff>47625</xdr:colOff>
      <xdr:row>44</xdr:row>
      <xdr:rowOff>66675</xdr:rowOff>
    </xdr:to>
    <xdr:pic>
      <xdr:nvPicPr>
        <xdr:cNvPr id="2995785" name="Picture 128" descr="Tank Capacity">
          <a:extLst>
            <a:ext uri="{FF2B5EF4-FFF2-40B4-BE49-F238E27FC236}">
              <a16:creationId xmlns:a16="http://schemas.microsoft.com/office/drawing/2014/main" id="{00000000-0008-0000-1900-000049B6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8572500"/>
          <a:ext cx="349567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390525</xdr:colOff>
      <xdr:row>27</xdr:row>
      <xdr:rowOff>257175</xdr:rowOff>
    </xdr:from>
    <xdr:to>
      <xdr:col>18</xdr:col>
      <xdr:colOff>228600</xdr:colOff>
      <xdr:row>39</xdr:row>
      <xdr:rowOff>257175</xdr:rowOff>
    </xdr:to>
    <xdr:pic>
      <xdr:nvPicPr>
        <xdr:cNvPr id="2995786" name="Picture 129" descr="Volume of Pipe II">
          <a:extLst>
            <a:ext uri="{FF2B5EF4-FFF2-40B4-BE49-F238E27FC236}">
              <a16:creationId xmlns:a16="http://schemas.microsoft.com/office/drawing/2014/main" id="{00000000-0008-0000-1900-00004AB6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0" y="6210300"/>
          <a:ext cx="1781175" cy="2914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180975</xdr:colOff>
      <xdr:row>46</xdr:row>
      <xdr:rowOff>171450</xdr:rowOff>
    </xdr:from>
    <xdr:to>
      <xdr:col>19</xdr:col>
      <xdr:colOff>342900</xdr:colOff>
      <xdr:row>54</xdr:row>
      <xdr:rowOff>28575</xdr:rowOff>
    </xdr:to>
    <xdr:pic>
      <xdr:nvPicPr>
        <xdr:cNvPr id="2995790" name="Picture 142">
          <a:extLst>
            <a:ext uri="{FF2B5EF4-FFF2-40B4-BE49-F238E27FC236}">
              <a16:creationId xmlns:a16="http://schemas.microsoft.com/office/drawing/2014/main" id="{00000000-0008-0000-1900-00004EB62D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b="10344"/>
        <a:stretch>
          <a:fillRect/>
        </a:stretch>
      </xdr:blipFill>
      <xdr:spPr bwMode="auto">
        <a:xfrm>
          <a:off x="8172450" y="10734675"/>
          <a:ext cx="17335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57150</xdr:rowOff>
    </xdr:from>
    <xdr:to>
      <xdr:col>3</xdr:col>
      <xdr:colOff>285750</xdr:colOff>
      <xdr:row>0</xdr:row>
      <xdr:rowOff>605790</xdr:rowOff>
    </xdr:to>
    <xdr:pic>
      <xdr:nvPicPr>
        <xdr:cNvPr id="18" name="Picture 17">
          <a:extLst>
            <a:ext uri="{FF2B5EF4-FFF2-40B4-BE49-F238E27FC236}">
              <a16:creationId xmlns:a16="http://schemas.microsoft.com/office/drawing/2014/main" id="{00000000-0008-0000-19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5" y="57150"/>
          <a:ext cx="1381125" cy="548640"/>
        </a:xfrm>
        <a:prstGeom prst="rect">
          <a:avLst/>
        </a:prstGeom>
      </xdr:spPr>
    </xdr:pic>
    <xdr:clientData/>
  </xdr:twoCellAnchor>
  <xdr:twoCellAnchor editAs="oneCell">
    <xdr:from>
      <xdr:col>16</xdr:col>
      <xdr:colOff>19050</xdr:colOff>
      <xdr:row>0</xdr:row>
      <xdr:rowOff>95250</xdr:rowOff>
    </xdr:from>
    <xdr:to>
      <xdr:col>19</xdr:col>
      <xdr:colOff>348724</xdr:colOff>
      <xdr:row>0</xdr:row>
      <xdr:rowOff>643890</xdr:rowOff>
    </xdr:to>
    <xdr:pic>
      <xdr:nvPicPr>
        <xdr:cNvPr id="19" name="Picture 18">
          <a:extLst>
            <a:ext uri="{FF2B5EF4-FFF2-40B4-BE49-F238E27FC236}">
              <a16:creationId xmlns:a16="http://schemas.microsoft.com/office/drawing/2014/main" id="{00000000-0008-0000-19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53325" y="95250"/>
          <a:ext cx="1786999" cy="5486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485775</xdr:colOff>
      <xdr:row>38</xdr:row>
      <xdr:rowOff>9525</xdr:rowOff>
    </xdr:from>
    <xdr:to>
      <xdr:col>20</xdr:col>
      <xdr:colOff>0</xdr:colOff>
      <xdr:row>55</xdr:row>
      <xdr:rowOff>57150</xdr:rowOff>
    </xdr:to>
    <xdr:pic>
      <xdr:nvPicPr>
        <xdr:cNvPr id="2994332" name="Picture 1" descr="7.23_Buoyancy_Calculation.tif">
          <a:extLst>
            <a:ext uri="{FF2B5EF4-FFF2-40B4-BE49-F238E27FC236}">
              <a16:creationId xmlns:a16="http://schemas.microsoft.com/office/drawing/2014/main" id="{00000000-0008-0000-2600-00009CB02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48675" y="7229475"/>
          <a:ext cx="1562100" cy="281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0</xdr:row>
      <xdr:rowOff>74083</xdr:rowOff>
    </xdr:from>
    <xdr:to>
      <xdr:col>3</xdr:col>
      <xdr:colOff>185208</xdr:colOff>
      <xdr:row>0</xdr:row>
      <xdr:rowOff>622723</xdr:rowOff>
    </xdr:to>
    <xdr:pic>
      <xdr:nvPicPr>
        <xdr:cNvPr id="6" name="Picture 5">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74083"/>
          <a:ext cx="1381125" cy="548640"/>
        </a:xfrm>
        <a:prstGeom prst="rect">
          <a:avLst/>
        </a:prstGeom>
      </xdr:spPr>
    </xdr:pic>
    <xdr:clientData/>
  </xdr:twoCellAnchor>
  <xdr:twoCellAnchor editAs="oneCell">
    <xdr:from>
      <xdr:col>15</xdr:col>
      <xdr:colOff>405343</xdr:colOff>
      <xdr:row>0</xdr:row>
      <xdr:rowOff>94191</xdr:rowOff>
    </xdr:from>
    <xdr:to>
      <xdr:col>19</xdr:col>
      <xdr:colOff>118008</xdr:colOff>
      <xdr:row>0</xdr:row>
      <xdr:rowOff>642831</xdr:rowOff>
    </xdr:to>
    <xdr:pic>
      <xdr:nvPicPr>
        <xdr:cNvPr id="7" name="Picture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08926" y="94191"/>
          <a:ext cx="1786999" cy="548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tabColor theme="9" tint="0.79998168889431442"/>
    <pageSetUpPr fitToPage="1"/>
  </sheetPr>
  <dimension ref="A1:AJ95"/>
  <sheetViews>
    <sheetView topLeftCell="A31" zoomScale="110" zoomScaleNormal="110" workbookViewId="0">
      <selection activeCell="E44" sqref="E44"/>
    </sheetView>
  </sheetViews>
  <sheetFormatPr defaultColWidth="8.85546875" defaultRowHeight="15" x14ac:dyDescent="0.3"/>
  <cols>
    <col min="1" max="1" width="9.42578125" style="1" bestFit="1" customWidth="1"/>
    <col min="2" max="2" width="19.42578125" style="1" bestFit="1" customWidth="1"/>
    <col min="3" max="3" width="30.42578125" style="1" bestFit="1" customWidth="1"/>
    <col min="4" max="4" width="19.140625" style="1" bestFit="1" customWidth="1"/>
    <col min="5" max="5" width="24.85546875" style="1" bestFit="1" customWidth="1"/>
    <col min="6" max="6" width="14.42578125" style="1" bestFit="1" customWidth="1"/>
    <col min="7" max="7" width="10.140625" style="1" bestFit="1" customWidth="1"/>
    <col min="8" max="8" width="12.42578125" style="1" bestFit="1" customWidth="1"/>
    <col min="9" max="9" width="19.42578125" style="1" customWidth="1"/>
    <col min="10" max="10" width="29.85546875" style="1" bestFit="1" customWidth="1"/>
    <col min="11" max="11" width="7.42578125" style="1" bestFit="1" customWidth="1"/>
    <col min="12" max="12" width="41.42578125" style="1" bestFit="1" customWidth="1"/>
    <col min="13" max="13" width="99.42578125" style="1" customWidth="1"/>
    <col min="14" max="14" width="20.42578125" style="1" customWidth="1"/>
    <col min="15" max="15" width="26" style="1" bestFit="1" customWidth="1"/>
    <col min="16" max="16" width="30.85546875" style="1" customWidth="1"/>
    <col min="17" max="17" width="19.140625" style="1" bestFit="1" customWidth="1"/>
    <col min="18" max="19" width="8.85546875" style="1"/>
    <col min="20" max="20" width="13.28515625" style="1" bestFit="1" customWidth="1"/>
    <col min="21" max="22" width="21.42578125" style="1" bestFit="1" customWidth="1"/>
    <col min="23" max="32" width="8.85546875" style="1"/>
    <col min="33" max="33" width="41.42578125" style="1" bestFit="1" customWidth="1"/>
    <col min="34" max="34" width="50.42578125" style="1" bestFit="1" customWidth="1"/>
    <col min="35" max="16384" width="8.85546875" style="1"/>
  </cols>
  <sheetData>
    <row r="1" spans="1:36" x14ac:dyDescent="0.3">
      <c r="A1" s="145" t="s">
        <v>317</v>
      </c>
      <c r="B1" s="145" t="s">
        <v>341</v>
      </c>
      <c r="C1" s="145" t="s">
        <v>342</v>
      </c>
      <c r="D1" s="145" t="s">
        <v>343</v>
      </c>
      <c r="E1" s="145" t="s">
        <v>344</v>
      </c>
      <c r="F1" s="145" t="s">
        <v>349</v>
      </c>
      <c r="G1" s="145" t="s">
        <v>324</v>
      </c>
      <c r="H1" s="145">
        <v>3</v>
      </c>
      <c r="I1" s="145" t="s">
        <v>325</v>
      </c>
      <c r="J1" s="145" t="s">
        <v>323</v>
      </c>
      <c r="K1" s="145" t="s">
        <v>327</v>
      </c>
      <c r="L1" s="145" t="s">
        <v>350</v>
      </c>
      <c r="M1" s="145" t="s">
        <v>351</v>
      </c>
      <c r="N1" s="360" t="s">
        <v>670</v>
      </c>
      <c r="O1" s="360" t="s">
        <v>676</v>
      </c>
      <c r="P1" s="393">
        <v>0</v>
      </c>
      <c r="Q1" s="393" t="s">
        <v>708</v>
      </c>
      <c r="R1" s="393" t="s">
        <v>711</v>
      </c>
      <c r="T1" s="393" t="s">
        <v>714</v>
      </c>
      <c r="U1" s="393" t="s">
        <v>656</v>
      </c>
      <c r="V1" s="393" t="s">
        <v>716</v>
      </c>
    </row>
    <row r="2" spans="1:36" x14ac:dyDescent="0.3">
      <c r="A2" s="402" t="s">
        <v>565</v>
      </c>
      <c r="B2" s="149" t="s">
        <v>24</v>
      </c>
      <c r="C2" s="198" t="s">
        <v>106</v>
      </c>
      <c r="D2" s="1" t="s">
        <v>620</v>
      </c>
      <c r="E2" s="198" t="s">
        <v>125</v>
      </c>
      <c r="F2" s="283" t="s">
        <v>560</v>
      </c>
      <c r="G2" s="225">
        <v>4</v>
      </c>
      <c r="H2" s="226">
        <v>4</v>
      </c>
      <c r="I2" s="251">
        <v>1</v>
      </c>
      <c r="J2" s="227" t="s">
        <v>314</v>
      </c>
      <c r="K2" s="150">
        <v>1</v>
      </c>
      <c r="L2" s="193" t="s">
        <v>225</v>
      </c>
      <c r="M2" s="228" t="s">
        <v>243</v>
      </c>
      <c r="N2" s="1" t="s">
        <v>671</v>
      </c>
      <c r="O2" s="1" t="s">
        <v>677</v>
      </c>
      <c r="P2" s="1" t="s">
        <v>657</v>
      </c>
      <c r="Q2" s="1" t="s">
        <v>709</v>
      </c>
      <c r="R2" s="1" t="s">
        <v>586</v>
      </c>
      <c r="T2" s="1">
        <v>1.5</v>
      </c>
      <c r="U2" s="1" t="s">
        <v>314</v>
      </c>
      <c r="V2" s="1">
        <v>36</v>
      </c>
    </row>
    <row r="3" spans="1:36" x14ac:dyDescent="0.3">
      <c r="A3" s="229">
        <v>1</v>
      </c>
      <c r="B3" s="149" t="s">
        <v>279</v>
      </c>
      <c r="C3" s="198" t="s">
        <v>107</v>
      </c>
      <c r="D3" s="198" t="s">
        <v>116</v>
      </c>
      <c r="E3" s="198" t="s">
        <v>128</v>
      </c>
      <c r="F3" s="198" t="s">
        <v>78</v>
      </c>
      <c r="G3" s="225">
        <v>3.85</v>
      </c>
      <c r="H3" s="226">
        <v>4.17</v>
      </c>
      <c r="I3" s="251">
        <v>1.25</v>
      </c>
      <c r="J3" s="227" t="s">
        <v>458</v>
      </c>
      <c r="K3" s="227">
        <v>2</v>
      </c>
      <c r="L3" s="193" t="s">
        <v>238</v>
      </c>
      <c r="M3" s="230" t="s">
        <v>212</v>
      </c>
      <c r="N3" s="1" t="s">
        <v>672</v>
      </c>
      <c r="O3" s="1" t="s">
        <v>678</v>
      </c>
      <c r="P3" s="1" t="s">
        <v>705</v>
      </c>
      <c r="Q3" s="1" t="s">
        <v>710</v>
      </c>
      <c r="R3" s="1" t="s">
        <v>585</v>
      </c>
      <c r="T3" s="1">
        <v>2</v>
      </c>
      <c r="U3" s="1" t="s">
        <v>657</v>
      </c>
      <c r="V3" s="1">
        <v>60</v>
      </c>
    </row>
    <row r="4" spans="1:36" x14ac:dyDescent="0.3">
      <c r="A4" s="229">
        <v>2</v>
      </c>
      <c r="B4" s="150" t="s">
        <v>367</v>
      </c>
      <c r="C4" s="198" t="s">
        <v>73</v>
      </c>
      <c r="D4" s="198" t="s">
        <v>120</v>
      </c>
      <c r="E4" s="198" t="s">
        <v>131</v>
      </c>
      <c r="F4" s="198" t="s">
        <v>79</v>
      </c>
      <c r="G4" s="225">
        <v>3.7</v>
      </c>
      <c r="H4" s="226">
        <v>4.3499999999999996</v>
      </c>
      <c r="I4" s="251">
        <v>1.5</v>
      </c>
      <c r="K4" s="227">
        <v>3</v>
      </c>
      <c r="L4" s="231" t="s">
        <v>104</v>
      </c>
      <c r="M4" s="230" t="s">
        <v>210</v>
      </c>
      <c r="N4" s="1" t="s">
        <v>673</v>
      </c>
      <c r="O4" s="1" t="s">
        <v>679</v>
      </c>
      <c r="P4" s="1" t="s">
        <v>706</v>
      </c>
      <c r="Q4" s="1" t="s">
        <v>586</v>
      </c>
      <c r="T4" s="1">
        <v>3</v>
      </c>
      <c r="U4" s="1" t="s">
        <v>705</v>
      </c>
      <c r="V4" s="1">
        <v>18</v>
      </c>
    </row>
    <row r="5" spans="1:36" x14ac:dyDescent="0.3">
      <c r="A5" s="229">
        <v>3</v>
      </c>
      <c r="B5" s="150" t="s">
        <v>368</v>
      </c>
      <c r="C5" s="198" t="s">
        <v>110</v>
      </c>
      <c r="D5" s="1" t="s">
        <v>619</v>
      </c>
      <c r="E5" s="198" t="s">
        <v>133</v>
      </c>
      <c r="F5" s="198" t="s">
        <v>80</v>
      </c>
      <c r="G5" s="225">
        <v>3.57</v>
      </c>
      <c r="H5" s="226">
        <v>4.54</v>
      </c>
      <c r="I5" s="251">
        <v>2</v>
      </c>
      <c r="J5" s="145" t="s">
        <v>336</v>
      </c>
      <c r="K5" s="227">
        <v>4</v>
      </c>
      <c r="L5" s="193" t="s">
        <v>192</v>
      </c>
      <c r="M5" s="230" t="s">
        <v>228</v>
      </c>
      <c r="N5" s="1" t="s">
        <v>674</v>
      </c>
      <c r="O5" s="1" t="s">
        <v>560</v>
      </c>
      <c r="P5" s="1" t="s">
        <v>658</v>
      </c>
      <c r="U5" s="1" t="s">
        <v>706</v>
      </c>
      <c r="V5" s="1">
        <v>12</v>
      </c>
    </row>
    <row r="6" spans="1:36" x14ac:dyDescent="0.3">
      <c r="A6" s="229">
        <v>4</v>
      </c>
      <c r="B6" s="149" t="s">
        <v>270</v>
      </c>
      <c r="C6" s="198" t="s">
        <v>115</v>
      </c>
      <c r="D6" s="1" t="s">
        <v>622</v>
      </c>
      <c r="E6" s="198" t="s">
        <v>135</v>
      </c>
      <c r="F6" s="198" t="s">
        <v>81</v>
      </c>
      <c r="G6" s="225">
        <v>3.45</v>
      </c>
      <c r="H6" s="226">
        <v>4.76</v>
      </c>
      <c r="I6" s="251">
        <v>3</v>
      </c>
      <c r="J6" s="252" t="s">
        <v>168</v>
      </c>
      <c r="K6" s="227">
        <v>5</v>
      </c>
      <c r="L6" s="193" t="s">
        <v>194</v>
      </c>
      <c r="M6" s="230" t="s">
        <v>228</v>
      </c>
      <c r="N6" s="1" t="s">
        <v>675</v>
      </c>
      <c r="O6" s="1" t="s">
        <v>680</v>
      </c>
      <c r="P6" s="1" t="s">
        <v>707</v>
      </c>
      <c r="U6" s="1" t="s">
        <v>658</v>
      </c>
      <c r="AI6" s="77"/>
      <c r="AJ6" s="77"/>
    </row>
    <row r="7" spans="1:36" x14ac:dyDescent="0.3">
      <c r="A7" s="229">
        <v>5</v>
      </c>
      <c r="B7" s="150" t="s">
        <v>369</v>
      </c>
      <c r="C7" s="198" t="s">
        <v>119</v>
      </c>
      <c r="D7" s="1" t="s">
        <v>621</v>
      </c>
      <c r="E7" s="198" t="s">
        <v>141</v>
      </c>
      <c r="F7" s="198" t="s">
        <v>82</v>
      </c>
      <c r="G7" s="225">
        <v>3.33</v>
      </c>
      <c r="H7" s="226">
        <v>5</v>
      </c>
      <c r="I7" s="251">
        <v>4</v>
      </c>
      <c r="J7" s="252" t="s">
        <v>169</v>
      </c>
      <c r="K7" s="227">
        <v>6</v>
      </c>
      <c r="L7" s="193" t="s">
        <v>190</v>
      </c>
      <c r="M7" s="230" t="s">
        <v>185</v>
      </c>
      <c r="O7" s="1" t="s">
        <v>681</v>
      </c>
      <c r="U7" s="1" t="s">
        <v>707</v>
      </c>
      <c r="AI7" s="77"/>
      <c r="AJ7" s="77"/>
    </row>
    <row r="8" spans="1:36" x14ac:dyDescent="0.3">
      <c r="A8" s="229">
        <v>6</v>
      </c>
      <c r="B8" s="149" t="s">
        <v>370</v>
      </c>
      <c r="C8" s="198" t="s">
        <v>74</v>
      </c>
      <c r="D8" s="198" t="s">
        <v>111</v>
      </c>
      <c r="E8" s="198" t="s">
        <v>144</v>
      </c>
      <c r="F8" s="198" t="s">
        <v>84</v>
      </c>
      <c r="G8" s="225">
        <v>3.23</v>
      </c>
      <c r="H8" s="226">
        <v>5.26</v>
      </c>
      <c r="I8" s="233">
        <v>6</v>
      </c>
      <c r="J8" s="252" t="s">
        <v>170</v>
      </c>
      <c r="K8" s="227">
        <v>7</v>
      </c>
      <c r="L8" s="193" t="s">
        <v>211</v>
      </c>
      <c r="M8" s="230" t="s">
        <v>203</v>
      </c>
      <c r="O8" s="1" t="s">
        <v>682</v>
      </c>
    </row>
    <row r="9" spans="1:36" x14ac:dyDescent="0.3">
      <c r="A9" s="229">
        <v>7</v>
      </c>
      <c r="B9" s="150" t="s">
        <v>371</v>
      </c>
      <c r="C9" s="198" t="s">
        <v>75</v>
      </c>
      <c r="D9" s="198" t="s">
        <v>108</v>
      </c>
      <c r="E9" s="198" t="s">
        <v>147</v>
      </c>
      <c r="F9" s="198" t="s">
        <v>86</v>
      </c>
      <c r="G9" s="225">
        <v>3.12</v>
      </c>
      <c r="H9" s="226">
        <v>5.56</v>
      </c>
      <c r="J9" s="252" t="s">
        <v>171</v>
      </c>
      <c r="K9" s="227">
        <v>8</v>
      </c>
      <c r="L9" s="193" t="s">
        <v>218</v>
      </c>
      <c r="M9" s="230" t="s">
        <v>208</v>
      </c>
      <c r="O9" s="1" t="s">
        <v>684</v>
      </c>
    </row>
    <row r="10" spans="1:36" x14ac:dyDescent="0.3">
      <c r="A10" s="229">
        <v>8</v>
      </c>
      <c r="B10" s="149" t="s">
        <v>290</v>
      </c>
      <c r="C10" s="198" t="s">
        <v>76</v>
      </c>
      <c r="D10" s="232" t="s">
        <v>311</v>
      </c>
      <c r="E10" s="198" t="s">
        <v>83</v>
      </c>
      <c r="F10" s="198" t="s">
        <v>88</v>
      </c>
      <c r="G10" s="225">
        <v>3.03</v>
      </c>
      <c r="H10" s="226">
        <v>5.88</v>
      </c>
      <c r="I10" s="145" t="s">
        <v>610</v>
      </c>
      <c r="K10" s="227">
        <v>9</v>
      </c>
      <c r="L10" s="193" t="s">
        <v>206</v>
      </c>
      <c r="M10" s="230" t="s">
        <v>193</v>
      </c>
      <c r="O10" s="1" t="s">
        <v>685</v>
      </c>
    </row>
    <row r="11" spans="1:36" x14ac:dyDescent="0.3">
      <c r="A11" s="229">
        <v>9</v>
      </c>
      <c r="B11" s="149" t="s">
        <v>449</v>
      </c>
      <c r="D11" s="145" t="s">
        <v>345</v>
      </c>
      <c r="E11" s="198" t="s">
        <v>308</v>
      </c>
      <c r="F11" s="198" t="s">
        <v>90</v>
      </c>
      <c r="G11" s="225">
        <v>2.94</v>
      </c>
      <c r="H11" s="226">
        <v>6.25</v>
      </c>
      <c r="I11" s="225" t="s">
        <v>611</v>
      </c>
      <c r="J11" s="145" t="s">
        <v>330</v>
      </c>
      <c r="K11" s="227">
        <v>10</v>
      </c>
      <c r="L11" s="193" t="s">
        <v>114</v>
      </c>
      <c r="M11" s="230" t="s">
        <v>176</v>
      </c>
      <c r="O11" s="1" t="s">
        <v>683</v>
      </c>
    </row>
    <row r="12" spans="1:36" x14ac:dyDescent="0.3">
      <c r="A12" s="229">
        <v>10</v>
      </c>
      <c r="B12" s="149" t="s">
        <v>271</v>
      </c>
      <c r="C12" s="145" t="s">
        <v>346</v>
      </c>
      <c r="D12" s="198" t="s">
        <v>77</v>
      </c>
      <c r="E12" s="198" t="s">
        <v>87</v>
      </c>
      <c r="F12" s="198" t="s">
        <v>92</v>
      </c>
      <c r="G12" s="225">
        <v>2.86</v>
      </c>
      <c r="H12" s="226">
        <v>6.67</v>
      </c>
      <c r="I12" s="225" t="s">
        <v>617</v>
      </c>
      <c r="J12" s="227" t="s">
        <v>585</v>
      </c>
      <c r="K12" s="227">
        <v>11</v>
      </c>
      <c r="L12" s="193" t="s">
        <v>512</v>
      </c>
      <c r="M12" s="230" t="s">
        <v>222</v>
      </c>
    </row>
    <row r="13" spans="1:36" x14ac:dyDescent="0.3">
      <c r="A13" s="229">
        <v>11</v>
      </c>
      <c r="B13" s="149" t="s">
        <v>450</v>
      </c>
      <c r="C13" s="283" t="s">
        <v>560</v>
      </c>
      <c r="D13" s="198" t="s">
        <v>280</v>
      </c>
      <c r="E13" s="198" t="s">
        <v>89</v>
      </c>
      <c r="F13" s="198" t="s">
        <v>109</v>
      </c>
      <c r="G13" s="225">
        <v>2.78</v>
      </c>
      <c r="H13" s="226">
        <v>7.14</v>
      </c>
      <c r="I13" s="225" t="s">
        <v>618</v>
      </c>
      <c r="J13" s="227" t="s">
        <v>586</v>
      </c>
      <c r="K13" s="227">
        <v>12</v>
      </c>
      <c r="L13" s="193" t="s">
        <v>216</v>
      </c>
      <c r="M13" s="230" t="s">
        <v>182</v>
      </c>
    </row>
    <row r="14" spans="1:36" x14ac:dyDescent="0.3">
      <c r="A14" s="229">
        <v>12</v>
      </c>
      <c r="B14" s="149" t="s">
        <v>451</v>
      </c>
      <c r="C14" s="198" t="s">
        <v>113</v>
      </c>
      <c r="D14" s="198" t="s">
        <v>633</v>
      </c>
      <c r="E14" s="198" t="s">
        <v>91</v>
      </c>
      <c r="F14" s="198" t="s">
        <v>112</v>
      </c>
      <c r="G14" s="225">
        <v>2.7</v>
      </c>
      <c r="H14" s="226">
        <v>7.69</v>
      </c>
      <c r="I14" s="225" t="s">
        <v>612</v>
      </c>
      <c r="J14" s="227" t="s">
        <v>636</v>
      </c>
      <c r="K14" s="227">
        <v>13</v>
      </c>
      <c r="L14" s="193" t="s">
        <v>190</v>
      </c>
      <c r="M14" s="230" t="s">
        <v>179</v>
      </c>
    </row>
    <row r="15" spans="1:36" x14ac:dyDescent="0.3">
      <c r="A15" s="229">
        <v>13</v>
      </c>
      <c r="B15" s="149" t="s">
        <v>272</v>
      </c>
      <c r="C15" s="198" t="s">
        <v>118</v>
      </c>
      <c r="D15" s="198" t="s">
        <v>143</v>
      </c>
      <c r="E15" s="198" t="s">
        <v>310</v>
      </c>
      <c r="F15" s="198" t="s">
        <v>117</v>
      </c>
      <c r="G15" s="226">
        <v>2.62</v>
      </c>
      <c r="H15" s="226">
        <v>8.2899999999999991</v>
      </c>
      <c r="I15" s="225" t="s">
        <v>615</v>
      </c>
      <c r="K15" s="227">
        <v>14</v>
      </c>
      <c r="L15" s="193" t="s">
        <v>190</v>
      </c>
      <c r="M15" s="230" t="s">
        <v>185</v>
      </c>
    </row>
    <row r="16" spans="1:36" x14ac:dyDescent="0.3">
      <c r="A16" s="229">
        <v>14</v>
      </c>
      <c r="B16" s="150" t="s">
        <v>372</v>
      </c>
      <c r="C16" s="198" t="s">
        <v>122</v>
      </c>
      <c r="D16" s="198" t="s">
        <v>281</v>
      </c>
      <c r="E16" s="198" t="s">
        <v>93</v>
      </c>
      <c r="F16" s="198" t="s">
        <v>121</v>
      </c>
      <c r="G16" s="226">
        <v>2.5499999999999998</v>
      </c>
      <c r="H16" s="226">
        <v>8.9149999999999991</v>
      </c>
      <c r="I16" s="225" t="s">
        <v>616</v>
      </c>
      <c r="J16" s="145" t="s">
        <v>354</v>
      </c>
      <c r="K16" s="227">
        <v>15</v>
      </c>
      <c r="L16" s="193" t="s">
        <v>205</v>
      </c>
      <c r="M16" s="230" t="s">
        <v>185</v>
      </c>
    </row>
    <row r="17" spans="1:21" x14ac:dyDescent="0.3">
      <c r="A17" s="229">
        <v>15</v>
      </c>
      <c r="B17" s="150" t="s">
        <v>273</v>
      </c>
      <c r="C17" s="198" t="s">
        <v>124</v>
      </c>
      <c r="D17" s="198" t="s">
        <v>282</v>
      </c>
      <c r="E17" s="198" t="s">
        <v>94</v>
      </c>
      <c r="F17" s="198" t="s">
        <v>96</v>
      </c>
      <c r="G17" s="226">
        <v>2.48</v>
      </c>
      <c r="H17" s="226">
        <v>9.5649999999999995</v>
      </c>
      <c r="I17" s="225" t="s">
        <v>613</v>
      </c>
      <c r="J17" s="234">
        <v>1</v>
      </c>
      <c r="K17" s="227">
        <v>16</v>
      </c>
      <c r="L17" s="193" t="s">
        <v>178</v>
      </c>
      <c r="M17" s="230" t="s">
        <v>226</v>
      </c>
    </row>
    <row r="18" spans="1:21" x14ac:dyDescent="0.3">
      <c r="A18" s="229">
        <v>16</v>
      </c>
      <c r="B18" s="150" t="s">
        <v>275</v>
      </c>
      <c r="C18" s="198" t="s">
        <v>127</v>
      </c>
      <c r="E18" s="198" t="s">
        <v>95</v>
      </c>
      <c r="F18" s="198" t="s">
        <v>123</v>
      </c>
      <c r="G18" s="226">
        <v>2.41</v>
      </c>
      <c r="H18" s="226">
        <v>10.24</v>
      </c>
      <c r="I18" s="225" t="s">
        <v>614</v>
      </c>
      <c r="J18" s="234">
        <v>1.5</v>
      </c>
      <c r="K18" s="227">
        <v>17</v>
      </c>
      <c r="L18" s="193" t="s">
        <v>244</v>
      </c>
      <c r="M18" s="230" t="s">
        <v>189</v>
      </c>
    </row>
    <row r="19" spans="1:21" x14ac:dyDescent="0.3">
      <c r="A19" s="229">
        <v>17</v>
      </c>
      <c r="B19" s="150" t="s">
        <v>274</v>
      </c>
      <c r="C19" s="198" t="s">
        <v>130</v>
      </c>
      <c r="D19" s="145" t="s">
        <v>348</v>
      </c>
      <c r="E19" s="198" t="s">
        <v>309</v>
      </c>
      <c r="F19" s="198" t="s">
        <v>126</v>
      </c>
      <c r="G19" s="226">
        <v>2.35</v>
      </c>
      <c r="H19" s="226">
        <v>10.94</v>
      </c>
      <c r="I19" s="225"/>
      <c r="J19" s="234">
        <v>1.6</v>
      </c>
      <c r="K19" s="227">
        <v>18</v>
      </c>
      <c r="L19" s="193" t="s">
        <v>191</v>
      </c>
      <c r="M19" s="230" t="s">
        <v>177</v>
      </c>
    </row>
    <row r="20" spans="1:21" x14ac:dyDescent="0.3">
      <c r="A20" s="229">
        <v>18</v>
      </c>
      <c r="B20" s="150" t="s">
        <v>277</v>
      </c>
      <c r="C20" s="198" t="s">
        <v>357</v>
      </c>
      <c r="D20" s="198" t="s">
        <v>286</v>
      </c>
      <c r="E20" s="198" t="s">
        <v>97</v>
      </c>
      <c r="F20" s="198" t="s">
        <v>129</v>
      </c>
      <c r="G20" s="226">
        <v>2.29</v>
      </c>
      <c r="H20" s="226">
        <v>11.664999999999999</v>
      </c>
      <c r="I20" s="330" t="s">
        <v>623</v>
      </c>
      <c r="J20" s="234">
        <v>1.8</v>
      </c>
      <c r="K20" s="227">
        <v>19</v>
      </c>
      <c r="L20" s="193" t="s">
        <v>187</v>
      </c>
      <c r="M20" s="235" t="s">
        <v>366</v>
      </c>
    </row>
    <row r="21" spans="1:21" x14ac:dyDescent="0.3">
      <c r="A21" s="229">
        <v>19</v>
      </c>
      <c r="B21" s="150" t="s">
        <v>276</v>
      </c>
      <c r="C21" s="145" t="s">
        <v>347</v>
      </c>
      <c r="D21" s="198" t="s">
        <v>287</v>
      </c>
      <c r="E21" s="198" t="s">
        <v>98</v>
      </c>
      <c r="F21" s="198" t="s">
        <v>132</v>
      </c>
      <c r="G21" s="226">
        <v>2.23</v>
      </c>
      <c r="H21" s="226">
        <v>12.414999999999999</v>
      </c>
      <c r="I21" s="1" t="s">
        <v>624</v>
      </c>
      <c r="J21" s="234">
        <v>2</v>
      </c>
      <c r="K21" s="227">
        <v>20</v>
      </c>
      <c r="L21" s="193" t="s">
        <v>229</v>
      </c>
      <c r="M21" s="230" t="s">
        <v>188</v>
      </c>
    </row>
    <row r="22" spans="1:21" x14ac:dyDescent="0.3">
      <c r="A22" s="229">
        <v>20</v>
      </c>
      <c r="B22" s="150" t="s">
        <v>278</v>
      </c>
      <c r="C22" s="198" t="s">
        <v>297</v>
      </c>
      <c r="D22" s="198" t="s">
        <v>288</v>
      </c>
      <c r="E22" s="198" t="s">
        <v>95</v>
      </c>
      <c r="F22" s="198" t="s">
        <v>99</v>
      </c>
      <c r="G22" s="226">
        <v>2.1800000000000002</v>
      </c>
      <c r="H22" s="226">
        <v>13.19</v>
      </c>
      <c r="I22" s="1" t="s">
        <v>430</v>
      </c>
      <c r="J22" s="234">
        <v>2.1</v>
      </c>
      <c r="L22" s="193" t="s">
        <v>173</v>
      </c>
      <c r="M22" s="230" t="s">
        <v>175</v>
      </c>
      <c r="U22" s="42"/>
    </row>
    <row r="23" spans="1:21" x14ac:dyDescent="0.3">
      <c r="A23" s="229">
        <v>21</v>
      </c>
      <c r="B23" s="149" t="s">
        <v>430</v>
      </c>
      <c r="C23" s="198" t="s">
        <v>283</v>
      </c>
      <c r="D23" s="198" t="s">
        <v>146</v>
      </c>
      <c r="E23" s="198" t="s">
        <v>312</v>
      </c>
      <c r="F23" s="198" t="s">
        <v>134</v>
      </c>
      <c r="G23" s="226">
        <v>2.13</v>
      </c>
      <c r="H23" s="226">
        <v>13.99</v>
      </c>
      <c r="I23" s="1" t="s">
        <v>626</v>
      </c>
      <c r="J23" s="234">
        <v>2.2999999999999998</v>
      </c>
      <c r="L23" s="193" t="s">
        <v>231</v>
      </c>
      <c r="M23" s="230" t="s">
        <v>227</v>
      </c>
    </row>
    <row r="24" spans="1:21" x14ac:dyDescent="0.3">
      <c r="A24" s="229">
        <v>22</v>
      </c>
      <c r="B24" s="150" t="s">
        <v>519</v>
      </c>
      <c r="C24" s="198" t="s">
        <v>284</v>
      </c>
      <c r="D24" s="198" t="s">
        <v>85</v>
      </c>
      <c r="E24" s="198" t="s">
        <v>356</v>
      </c>
      <c r="F24" s="198" t="s">
        <v>140</v>
      </c>
      <c r="G24" s="226">
        <v>2.08</v>
      </c>
      <c r="H24" s="226">
        <v>14.815</v>
      </c>
      <c r="I24" s="1" t="s">
        <v>625</v>
      </c>
      <c r="J24" s="234">
        <v>2.4</v>
      </c>
      <c r="L24" s="193" t="s">
        <v>186</v>
      </c>
      <c r="M24" s="230" t="s">
        <v>207</v>
      </c>
    </row>
    <row r="25" spans="1:21" x14ac:dyDescent="0.3">
      <c r="A25" s="229">
        <v>23</v>
      </c>
      <c r="B25" s="150" t="s">
        <v>460</v>
      </c>
      <c r="C25" s="198" t="s">
        <v>285</v>
      </c>
      <c r="E25" s="198" t="s">
        <v>518</v>
      </c>
      <c r="F25" s="198" t="s">
        <v>142</v>
      </c>
      <c r="G25" s="226">
        <v>2.0299999999999998</v>
      </c>
      <c r="H25" s="226">
        <v>15.664999999999999</v>
      </c>
      <c r="I25" s="1" t="s">
        <v>627</v>
      </c>
      <c r="J25" s="234">
        <v>2.5</v>
      </c>
      <c r="L25" s="193" t="s">
        <v>232</v>
      </c>
      <c r="M25" s="230" t="s">
        <v>199</v>
      </c>
    </row>
    <row r="26" spans="1:21" x14ac:dyDescent="0.3">
      <c r="A26" s="229">
        <v>24</v>
      </c>
      <c r="B26" s="145" t="s">
        <v>340</v>
      </c>
      <c r="D26" s="145" t="s">
        <v>329</v>
      </c>
      <c r="E26" s="145" t="s">
        <v>326</v>
      </c>
      <c r="F26" s="198" t="s">
        <v>145</v>
      </c>
      <c r="G26" s="226">
        <v>1.98</v>
      </c>
      <c r="H26" s="226">
        <v>16.54</v>
      </c>
      <c r="I26" s="1" t="s">
        <v>628</v>
      </c>
      <c r="J26" s="234">
        <v>2.6</v>
      </c>
      <c r="L26" s="193" t="s">
        <v>220</v>
      </c>
      <c r="M26" s="230" t="s">
        <v>197</v>
      </c>
    </row>
    <row r="27" spans="1:21" x14ac:dyDescent="0.3">
      <c r="A27" s="229">
        <v>25</v>
      </c>
      <c r="B27" s="150" t="s">
        <v>48</v>
      </c>
      <c r="C27" s="145" t="s">
        <v>319</v>
      </c>
      <c r="D27" s="236" t="s">
        <v>50</v>
      </c>
      <c r="E27" s="253">
        <v>4.4999999999999998E-2</v>
      </c>
      <c r="F27" s="198" t="s">
        <v>148</v>
      </c>
      <c r="G27" s="226">
        <v>1.93</v>
      </c>
      <c r="H27" s="226">
        <v>17.440000000000001</v>
      </c>
      <c r="I27" s="1" t="s">
        <v>519</v>
      </c>
      <c r="J27" s="238">
        <v>2.7</v>
      </c>
      <c r="L27" s="193" t="s">
        <v>215</v>
      </c>
      <c r="M27" s="230" t="s">
        <v>198</v>
      </c>
    </row>
    <row r="28" spans="1:21" x14ac:dyDescent="0.3">
      <c r="A28" s="229">
        <v>26</v>
      </c>
      <c r="B28" s="227" t="s">
        <v>72</v>
      </c>
      <c r="C28" s="148">
        <v>0.3</v>
      </c>
      <c r="D28" s="237" t="s">
        <v>49</v>
      </c>
      <c r="E28" s="253">
        <v>7.8E-2</v>
      </c>
      <c r="F28" s="198" t="s">
        <v>100</v>
      </c>
      <c r="I28" s="1" t="s">
        <v>629</v>
      </c>
      <c r="J28" s="238">
        <v>2.9</v>
      </c>
      <c r="L28" s="193" t="s">
        <v>230</v>
      </c>
      <c r="M28" s="230" t="s">
        <v>200</v>
      </c>
    </row>
    <row r="29" spans="1:21" x14ac:dyDescent="0.3">
      <c r="A29" s="229">
        <v>27</v>
      </c>
      <c r="B29" s="145" t="s">
        <v>333</v>
      </c>
      <c r="C29" s="148">
        <v>0.42</v>
      </c>
      <c r="D29" s="409" t="s">
        <v>717</v>
      </c>
      <c r="E29" s="253">
        <v>0.11</v>
      </c>
      <c r="F29" s="198" t="s">
        <v>101</v>
      </c>
      <c r="G29" s="145" t="s">
        <v>352</v>
      </c>
      <c r="H29" s="145" t="s">
        <v>353</v>
      </c>
      <c r="I29" s="1" t="s">
        <v>630</v>
      </c>
      <c r="J29" s="238">
        <v>5</v>
      </c>
      <c r="L29" s="193" t="s">
        <v>239</v>
      </c>
      <c r="M29" s="230" t="s">
        <v>224</v>
      </c>
    </row>
    <row r="30" spans="1:21" x14ac:dyDescent="0.3">
      <c r="A30" s="229">
        <v>28</v>
      </c>
      <c r="B30" s="227">
        <v>2</v>
      </c>
      <c r="C30" s="148">
        <v>0.45</v>
      </c>
      <c r="D30" s="237" t="s">
        <v>1</v>
      </c>
      <c r="E30" s="253">
        <v>0.17</v>
      </c>
      <c r="F30" s="198" t="s">
        <v>102</v>
      </c>
      <c r="G30" s="239">
        <v>1</v>
      </c>
      <c r="H30" s="227" t="s">
        <v>298</v>
      </c>
      <c r="J30" s="238">
        <v>5.3</v>
      </c>
      <c r="L30" s="193" t="s">
        <v>241</v>
      </c>
      <c r="M30" s="230" t="s">
        <v>223</v>
      </c>
    </row>
    <row r="31" spans="1:21" x14ac:dyDescent="0.3">
      <c r="A31" s="229">
        <v>29</v>
      </c>
      <c r="B31" s="227">
        <v>3</v>
      </c>
      <c r="C31" s="148">
        <v>0.5</v>
      </c>
      <c r="D31" s="143" t="s">
        <v>47</v>
      </c>
      <c r="E31" s="253">
        <v>0.38</v>
      </c>
      <c r="F31" s="198" t="s">
        <v>149</v>
      </c>
      <c r="G31" s="239">
        <v>2</v>
      </c>
      <c r="H31" s="227" t="s">
        <v>299</v>
      </c>
      <c r="J31" s="238">
        <v>7</v>
      </c>
      <c r="L31" s="193" t="s">
        <v>217</v>
      </c>
      <c r="M31" s="230" t="s">
        <v>242</v>
      </c>
    </row>
    <row r="32" spans="1:21" x14ac:dyDescent="0.3">
      <c r="A32" s="229">
        <v>30</v>
      </c>
      <c r="C32" s="148">
        <v>0.52</v>
      </c>
      <c r="D32" s="145" t="s">
        <v>338</v>
      </c>
      <c r="E32" s="253">
        <v>0.66100000000000003</v>
      </c>
      <c r="F32" s="198" t="s">
        <v>150</v>
      </c>
      <c r="G32" s="239">
        <v>3</v>
      </c>
      <c r="H32" s="1" t="s">
        <v>9</v>
      </c>
      <c r="I32" s="145" t="s">
        <v>360</v>
      </c>
      <c r="L32" s="193" t="s">
        <v>204</v>
      </c>
      <c r="M32" s="235" t="s">
        <v>365</v>
      </c>
    </row>
    <row r="33" spans="1:17" x14ac:dyDescent="0.3">
      <c r="B33" s="145" t="s">
        <v>318</v>
      </c>
      <c r="C33" s="148">
        <v>0.6</v>
      </c>
      <c r="D33" s="144" t="s">
        <v>50</v>
      </c>
      <c r="F33" s="198" t="s">
        <v>151</v>
      </c>
      <c r="G33" s="239">
        <v>4</v>
      </c>
      <c r="I33" s="227" t="s">
        <v>298</v>
      </c>
      <c r="J33" s="145" t="s">
        <v>358</v>
      </c>
      <c r="L33" s="193" t="s">
        <v>245</v>
      </c>
      <c r="M33" s="235" t="s">
        <v>364</v>
      </c>
    </row>
    <row r="34" spans="1:17" x14ac:dyDescent="0.3">
      <c r="A34" s="145" t="s">
        <v>335</v>
      </c>
      <c r="B34" s="224">
        <v>500</v>
      </c>
      <c r="C34" s="148">
        <v>0.65</v>
      </c>
      <c r="D34" s="237" t="s">
        <v>313</v>
      </c>
      <c r="E34" s="145" t="s">
        <v>334</v>
      </c>
      <c r="F34" s="198" t="s">
        <v>103</v>
      </c>
      <c r="G34" s="239">
        <v>5</v>
      </c>
      <c r="I34" s="227" t="s">
        <v>299</v>
      </c>
      <c r="J34" s="240">
        <v>0.5</v>
      </c>
      <c r="L34" s="193" t="s">
        <v>202</v>
      </c>
      <c r="M34" s="235" t="s">
        <v>363</v>
      </c>
    </row>
    <row r="35" spans="1:17" x14ac:dyDescent="0.3">
      <c r="A35" s="252">
        <v>2</v>
      </c>
      <c r="B35" s="241">
        <v>1000</v>
      </c>
      <c r="C35" s="148">
        <v>0.68</v>
      </c>
      <c r="E35" s="242" t="s">
        <v>157</v>
      </c>
      <c r="G35" s="239">
        <v>6</v>
      </c>
      <c r="I35" s="227" t="s">
        <v>359</v>
      </c>
      <c r="J35" s="148">
        <v>0.75</v>
      </c>
      <c r="L35" s="193" t="s">
        <v>201</v>
      </c>
      <c r="M35" s="230" t="s">
        <v>172</v>
      </c>
    </row>
    <row r="36" spans="1:17" x14ac:dyDescent="0.3">
      <c r="A36" s="252">
        <v>3</v>
      </c>
      <c r="B36" s="224">
        <v>1250</v>
      </c>
      <c r="C36" s="148">
        <v>0.78</v>
      </c>
      <c r="D36" s="145" t="s">
        <v>337</v>
      </c>
      <c r="E36" s="242" t="s">
        <v>23</v>
      </c>
      <c r="G36" s="239">
        <v>7</v>
      </c>
      <c r="I36" s="227" t="s">
        <v>453</v>
      </c>
      <c r="J36" s="240">
        <v>1</v>
      </c>
      <c r="L36" s="193" t="s">
        <v>219</v>
      </c>
      <c r="M36" s="230" t="s">
        <v>195</v>
      </c>
    </row>
    <row r="37" spans="1:17" x14ac:dyDescent="0.3">
      <c r="A37" s="252">
        <v>4</v>
      </c>
      <c r="B37" s="241">
        <v>1500</v>
      </c>
      <c r="C37" s="148">
        <v>0.87</v>
      </c>
      <c r="D37" s="254">
        <v>1</v>
      </c>
      <c r="E37" s="242" t="s">
        <v>24</v>
      </c>
      <c r="F37" s="145" t="s">
        <v>339</v>
      </c>
      <c r="G37" s="239">
        <v>8</v>
      </c>
      <c r="I37" s="1" t="s">
        <v>634</v>
      </c>
      <c r="L37" s="193" t="s">
        <v>181</v>
      </c>
      <c r="M37" s="230" t="s">
        <v>234</v>
      </c>
      <c r="Q37" s="97"/>
    </row>
    <row r="38" spans="1:17" x14ac:dyDescent="0.3">
      <c r="A38" s="252">
        <v>5</v>
      </c>
      <c r="B38" s="241">
        <v>2000</v>
      </c>
      <c r="C38" s="148">
        <v>1</v>
      </c>
      <c r="D38" s="252">
        <v>0.45</v>
      </c>
      <c r="E38" s="242" t="s">
        <v>22</v>
      </c>
      <c r="F38" s="227" t="s">
        <v>578</v>
      </c>
      <c r="G38" s="239">
        <v>9</v>
      </c>
      <c r="K38" s="2"/>
      <c r="L38" s="193" t="s">
        <v>174</v>
      </c>
      <c r="M38" s="230" t="s">
        <v>183</v>
      </c>
      <c r="Q38" s="97"/>
    </row>
    <row r="39" spans="1:17" x14ac:dyDescent="0.3">
      <c r="A39" s="252">
        <v>6</v>
      </c>
      <c r="B39" s="241">
        <v>2500</v>
      </c>
      <c r="C39" s="148">
        <v>1.2</v>
      </c>
      <c r="F39" s="227" t="s">
        <v>294</v>
      </c>
      <c r="G39" s="239">
        <v>10</v>
      </c>
      <c r="I39" s="282" t="s">
        <v>703</v>
      </c>
      <c r="J39" s="358" t="s">
        <v>600</v>
      </c>
      <c r="L39" s="193" t="s">
        <v>237</v>
      </c>
      <c r="M39" s="230" t="s">
        <v>240</v>
      </c>
      <c r="P39" s="97"/>
      <c r="Q39" s="97"/>
    </row>
    <row r="40" spans="1:17" x14ac:dyDescent="0.3">
      <c r="A40" s="252">
        <v>7</v>
      </c>
      <c r="C40" s="148">
        <v>1.6</v>
      </c>
      <c r="D40" s="145" t="s">
        <v>320</v>
      </c>
      <c r="E40" s="145" t="s">
        <v>332</v>
      </c>
      <c r="F40" s="227" t="s">
        <v>293</v>
      </c>
      <c r="G40" s="239">
        <v>11</v>
      </c>
      <c r="I40" s="283" t="s">
        <v>108</v>
      </c>
      <c r="J40" s="1" t="s">
        <v>719</v>
      </c>
      <c r="L40" s="193" t="s">
        <v>233</v>
      </c>
      <c r="M40" s="230" t="s">
        <v>213</v>
      </c>
      <c r="P40" s="97"/>
      <c r="Q40" s="97"/>
    </row>
    <row r="41" spans="1:17" x14ac:dyDescent="0.3">
      <c r="A41" s="252">
        <v>8</v>
      </c>
      <c r="B41" s="145" t="s">
        <v>328</v>
      </c>
      <c r="D41" s="148">
        <v>0.33</v>
      </c>
      <c r="E41" s="263">
        <v>6.5</v>
      </c>
      <c r="F41" s="227" t="s">
        <v>167</v>
      </c>
      <c r="G41" s="239">
        <v>12</v>
      </c>
      <c r="I41" s="283" t="s">
        <v>111</v>
      </c>
      <c r="L41" s="193" t="s">
        <v>236</v>
      </c>
      <c r="M41" s="230" t="s">
        <v>196</v>
      </c>
      <c r="P41" s="97"/>
      <c r="Q41" s="97"/>
    </row>
    <row r="42" spans="1:17" x14ac:dyDescent="0.3">
      <c r="A42" s="252">
        <v>9</v>
      </c>
      <c r="B42" s="243">
        <v>2</v>
      </c>
      <c r="D42" s="148">
        <v>0.5</v>
      </c>
      <c r="E42" s="227">
        <v>7</v>
      </c>
      <c r="F42" s="276" t="s">
        <v>580</v>
      </c>
      <c r="G42" s="239">
        <v>13</v>
      </c>
      <c r="I42" s="283" t="s">
        <v>704</v>
      </c>
      <c r="J42" s="145" t="s">
        <v>459</v>
      </c>
      <c r="L42" s="193" t="s">
        <v>235</v>
      </c>
      <c r="M42" s="244"/>
      <c r="P42" s="97"/>
      <c r="Q42" s="97"/>
    </row>
    <row r="43" spans="1:17" x14ac:dyDescent="0.3">
      <c r="A43" s="283">
        <v>10</v>
      </c>
      <c r="B43" s="240">
        <v>2.5</v>
      </c>
      <c r="C43" s="145" t="s">
        <v>331</v>
      </c>
      <c r="E43" s="227">
        <v>9</v>
      </c>
      <c r="G43" s="239">
        <v>14</v>
      </c>
      <c r="I43" s="283" t="s">
        <v>120</v>
      </c>
      <c r="J43" s="180" t="s">
        <v>454</v>
      </c>
      <c r="L43" s="193" t="s">
        <v>184</v>
      </c>
      <c r="M43" s="244"/>
    </row>
    <row r="44" spans="1:17" x14ac:dyDescent="0.3">
      <c r="A44" s="283">
        <v>11</v>
      </c>
      <c r="B44" s="240">
        <v>3</v>
      </c>
      <c r="C44" s="243">
        <v>2.5</v>
      </c>
      <c r="D44" s="145" t="s">
        <v>322</v>
      </c>
      <c r="E44" s="227">
        <v>10</v>
      </c>
      <c r="G44" s="239">
        <v>15</v>
      </c>
      <c r="I44" s="283" t="s">
        <v>311</v>
      </c>
      <c r="J44" s="180" t="s">
        <v>375</v>
      </c>
      <c r="L44" s="193" t="s">
        <v>214</v>
      </c>
      <c r="M44" s="244"/>
    </row>
    <row r="45" spans="1:17" x14ac:dyDescent="0.3">
      <c r="A45" s="283">
        <v>12</v>
      </c>
      <c r="B45" s="410">
        <v>3.5</v>
      </c>
      <c r="C45" s="240">
        <v>3.5</v>
      </c>
      <c r="D45" s="240">
        <v>1.2</v>
      </c>
      <c r="E45" s="227"/>
      <c r="G45" s="239">
        <v>16</v>
      </c>
      <c r="J45" s="180" t="s">
        <v>376</v>
      </c>
      <c r="L45" s="193" t="s">
        <v>209</v>
      </c>
      <c r="M45" s="244"/>
    </row>
    <row r="46" spans="1:17" x14ac:dyDescent="0.3">
      <c r="B46" s="410">
        <v>4</v>
      </c>
      <c r="C46" s="240">
        <v>5</v>
      </c>
      <c r="D46" s="240">
        <v>1</v>
      </c>
      <c r="E46" s="145" t="s">
        <v>462</v>
      </c>
      <c r="G46" s="239">
        <v>17</v>
      </c>
      <c r="L46" s="193" t="s">
        <v>221</v>
      </c>
      <c r="M46" s="244"/>
    </row>
    <row r="47" spans="1:17" x14ac:dyDescent="0.3">
      <c r="B47" s="410">
        <v>4.5</v>
      </c>
      <c r="C47" s="240"/>
      <c r="D47" s="245">
        <v>1.6</v>
      </c>
      <c r="E47" s="247" t="s">
        <v>469</v>
      </c>
      <c r="G47" s="239">
        <v>18</v>
      </c>
      <c r="J47" s="248"/>
      <c r="M47" s="244"/>
    </row>
    <row r="48" spans="1:17" x14ac:dyDescent="0.3">
      <c r="B48" s="410">
        <v>5</v>
      </c>
      <c r="C48" s="283"/>
      <c r="E48" s="248" t="s">
        <v>470</v>
      </c>
      <c r="G48" s="239">
        <v>19</v>
      </c>
      <c r="J48" s="145" t="s">
        <v>535</v>
      </c>
    </row>
    <row r="49" spans="2:13" x14ac:dyDescent="0.3">
      <c r="B49" s="145" t="s">
        <v>379</v>
      </c>
      <c r="C49" s="145" t="s">
        <v>321</v>
      </c>
      <c r="D49" s="246"/>
      <c r="E49" s="248" t="s">
        <v>510</v>
      </c>
      <c r="G49" s="239">
        <v>20</v>
      </c>
      <c r="J49" s="180" t="s">
        <v>536</v>
      </c>
      <c r="L49" s="145" t="s">
        <v>568</v>
      </c>
      <c r="M49" s="330" t="s">
        <v>645</v>
      </c>
    </row>
    <row r="50" spans="2:13" x14ac:dyDescent="0.3">
      <c r="B50" s="180" t="s">
        <v>377</v>
      </c>
      <c r="C50" s="240">
        <v>1</v>
      </c>
      <c r="D50" s="145" t="s">
        <v>461</v>
      </c>
      <c r="E50" s="248" t="s">
        <v>471</v>
      </c>
      <c r="J50" s="180" t="s">
        <v>533</v>
      </c>
      <c r="L50" s="276" t="s">
        <v>569</v>
      </c>
      <c r="M50" s="283" t="s">
        <v>646</v>
      </c>
    </row>
    <row r="51" spans="2:13" x14ac:dyDescent="0.3">
      <c r="B51" s="180" t="s">
        <v>378</v>
      </c>
      <c r="C51" s="240">
        <v>1.5</v>
      </c>
      <c r="D51" s="180" t="s">
        <v>463</v>
      </c>
      <c r="E51" s="248" t="s">
        <v>472</v>
      </c>
      <c r="F51" s="330" t="s">
        <v>631</v>
      </c>
      <c r="J51" s="180" t="s">
        <v>534</v>
      </c>
      <c r="L51" s="276" t="s">
        <v>570</v>
      </c>
      <c r="M51" s="283" t="s">
        <v>552</v>
      </c>
    </row>
    <row r="52" spans="2:13" x14ac:dyDescent="0.3">
      <c r="B52" s="180" t="s">
        <v>715</v>
      </c>
      <c r="D52" s="180" t="s">
        <v>464</v>
      </c>
      <c r="E52" s="248" t="s">
        <v>473</v>
      </c>
      <c r="F52" s="1" t="s">
        <v>632</v>
      </c>
      <c r="L52" s="276" t="s">
        <v>571</v>
      </c>
      <c r="M52" s="283" t="s">
        <v>649</v>
      </c>
    </row>
    <row r="53" spans="2:13" x14ac:dyDescent="0.3">
      <c r="D53" s="180" t="s">
        <v>465</v>
      </c>
      <c r="E53" s="247" t="s">
        <v>474</v>
      </c>
      <c r="F53" s="1" t="s">
        <v>48</v>
      </c>
      <c r="J53" s="145" t="s">
        <v>547</v>
      </c>
      <c r="L53" s="276" t="s">
        <v>572</v>
      </c>
    </row>
    <row r="54" spans="2:13" x14ac:dyDescent="0.3">
      <c r="B54" s="249" t="s">
        <v>514</v>
      </c>
      <c r="D54" s="180" t="s">
        <v>466</v>
      </c>
      <c r="E54" s="248" t="s">
        <v>475</v>
      </c>
      <c r="J54" s="246" t="s">
        <v>550</v>
      </c>
      <c r="L54" s="276" t="s">
        <v>573</v>
      </c>
    </row>
    <row r="55" spans="2:13" x14ac:dyDescent="0.3">
      <c r="B55" s="180" t="s">
        <v>557</v>
      </c>
      <c r="D55" s="180" t="s">
        <v>467</v>
      </c>
      <c r="E55" s="248" t="s">
        <v>476</v>
      </c>
      <c r="J55" s="246" t="s">
        <v>551</v>
      </c>
    </row>
    <row r="56" spans="2:13" x14ac:dyDescent="0.3">
      <c r="B56" s="180" t="s">
        <v>554</v>
      </c>
      <c r="D56" s="180" t="s">
        <v>559</v>
      </c>
      <c r="E56" s="248" t="s">
        <v>477</v>
      </c>
      <c r="J56" s="246" t="s">
        <v>548</v>
      </c>
      <c r="L56" s="145" t="s">
        <v>574</v>
      </c>
    </row>
    <row r="57" spans="2:13" x14ac:dyDescent="0.3">
      <c r="B57" s="180" t="s">
        <v>555</v>
      </c>
      <c r="D57" s="180" t="s">
        <v>468</v>
      </c>
      <c r="E57" s="248" t="s">
        <v>478</v>
      </c>
      <c r="J57" s="246" t="s">
        <v>549</v>
      </c>
      <c r="L57" s="276" t="s">
        <v>575</v>
      </c>
      <c r="M57" s="332" t="s">
        <v>650</v>
      </c>
    </row>
    <row r="58" spans="2:13" x14ac:dyDescent="0.3">
      <c r="B58" s="180" t="s">
        <v>558</v>
      </c>
      <c r="D58" s="180" t="s">
        <v>509</v>
      </c>
      <c r="E58" s="248" t="s">
        <v>479</v>
      </c>
      <c r="J58" s="276" t="s">
        <v>553</v>
      </c>
      <c r="L58" s="276" t="s">
        <v>180</v>
      </c>
      <c r="M58" s="283" t="s">
        <v>651</v>
      </c>
    </row>
    <row r="59" spans="2:13" x14ac:dyDescent="0.3">
      <c r="D59" s="180" t="s">
        <v>511</v>
      </c>
      <c r="E59" s="248" t="s">
        <v>480</v>
      </c>
      <c r="J59" s="246" t="s">
        <v>552</v>
      </c>
      <c r="L59" s="276" t="s">
        <v>576</v>
      </c>
      <c r="M59" s="283" t="s">
        <v>652</v>
      </c>
    </row>
    <row r="60" spans="2:13" x14ac:dyDescent="0.3">
      <c r="D60" s="180" t="s">
        <v>560</v>
      </c>
      <c r="E60" s="248" t="s">
        <v>481</v>
      </c>
      <c r="M60" s="283" t="s">
        <v>653</v>
      </c>
    </row>
    <row r="61" spans="2:13" x14ac:dyDescent="0.3">
      <c r="B61" s="249" t="s">
        <v>517</v>
      </c>
      <c r="E61" s="248" t="s">
        <v>482</v>
      </c>
      <c r="F61" s="282" t="s">
        <v>599</v>
      </c>
      <c r="J61" s="145" t="s">
        <v>591</v>
      </c>
      <c r="L61" s="145" t="s">
        <v>577</v>
      </c>
      <c r="M61" s="283" t="s">
        <v>654</v>
      </c>
    </row>
    <row r="62" spans="2:13" x14ac:dyDescent="0.3">
      <c r="B62" s="180" t="s">
        <v>556</v>
      </c>
      <c r="D62" s="145" t="s">
        <v>601</v>
      </c>
      <c r="E62" s="248" t="s">
        <v>483</v>
      </c>
      <c r="F62" s="283" t="s">
        <v>594</v>
      </c>
      <c r="J62" s="276" t="s">
        <v>588</v>
      </c>
      <c r="L62" s="276" t="s">
        <v>578</v>
      </c>
      <c r="M62" s="283" t="s">
        <v>663</v>
      </c>
    </row>
    <row r="63" spans="2:13" x14ac:dyDescent="0.3">
      <c r="B63" s="180" t="s">
        <v>515</v>
      </c>
      <c r="D63" s="198" t="s">
        <v>602</v>
      </c>
      <c r="E63" s="248" t="s">
        <v>484</v>
      </c>
      <c r="F63" s="283" t="s">
        <v>595</v>
      </c>
      <c r="J63" s="276" t="s">
        <v>589</v>
      </c>
      <c r="L63" s="276" t="s">
        <v>579</v>
      </c>
    </row>
    <row r="64" spans="2:13" x14ac:dyDescent="0.3">
      <c r="D64" s="198" t="s">
        <v>605</v>
      </c>
      <c r="E64" s="248" t="s">
        <v>485</v>
      </c>
      <c r="F64" s="283" t="s">
        <v>596</v>
      </c>
      <c r="J64" s="276" t="s">
        <v>590</v>
      </c>
      <c r="L64" s="276" t="s">
        <v>293</v>
      </c>
    </row>
    <row r="65" spans="4:13" x14ac:dyDescent="0.3">
      <c r="D65" s="198" t="s">
        <v>603</v>
      </c>
      <c r="E65" s="248" t="s">
        <v>486</v>
      </c>
      <c r="F65" s="283" t="s">
        <v>597</v>
      </c>
      <c r="L65" s="276" t="s">
        <v>294</v>
      </c>
    </row>
    <row r="66" spans="4:13" x14ac:dyDescent="0.3">
      <c r="D66" s="198" t="s">
        <v>606</v>
      </c>
      <c r="E66" s="248" t="s">
        <v>487</v>
      </c>
      <c r="F66" s="283" t="s">
        <v>598</v>
      </c>
      <c r="J66" s="145" t="s">
        <v>568</v>
      </c>
      <c r="L66" s="276" t="s">
        <v>580</v>
      </c>
    </row>
    <row r="67" spans="4:13" x14ac:dyDescent="0.3">
      <c r="D67" s="198" t="s">
        <v>604</v>
      </c>
      <c r="E67" s="248" t="s">
        <v>488</v>
      </c>
      <c r="J67" s="276" t="s">
        <v>572</v>
      </c>
    </row>
    <row r="68" spans="4:13" x14ac:dyDescent="0.3">
      <c r="D68" s="198" t="s">
        <v>607</v>
      </c>
      <c r="E68" s="248" t="s">
        <v>489</v>
      </c>
      <c r="F68" s="330" t="s">
        <v>655</v>
      </c>
      <c r="G68" s="330"/>
      <c r="J68" s="276" t="s">
        <v>592</v>
      </c>
      <c r="L68" s="145" t="s">
        <v>581</v>
      </c>
      <c r="M68" s="330" t="s">
        <v>656</v>
      </c>
    </row>
    <row r="69" spans="4:13" x14ac:dyDescent="0.3">
      <c r="E69" s="248" t="s">
        <v>490</v>
      </c>
      <c r="F69" s="1">
        <v>6</v>
      </c>
      <c r="J69" s="276" t="s">
        <v>570</v>
      </c>
      <c r="L69" s="276" t="s">
        <v>62</v>
      </c>
      <c r="M69" s="1" t="s">
        <v>314</v>
      </c>
    </row>
    <row r="70" spans="4:13" x14ac:dyDescent="0.3">
      <c r="E70" s="248" t="s">
        <v>491</v>
      </c>
      <c r="F70" s="1">
        <v>7</v>
      </c>
      <c r="J70" s="276" t="s">
        <v>593</v>
      </c>
      <c r="L70" s="276" t="s">
        <v>582</v>
      </c>
      <c r="M70" s="1" t="s">
        <v>658</v>
      </c>
    </row>
    <row r="71" spans="4:13" x14ac:dyDescent="0.3">
      <c r="E71" s="248" t="s">
        <v>492</v>
      </c>
      <c r="F71" s="1">
        <v>8</v>
      </c>
      <c r="J71" s="276" t="s">
        <v>569</v>
      </c>
      <c r="L71" s="276" t="s">
        <v>583</v>
      </c>
      <c r="M71" s="1" t="s">
        <v>657</v>
      </c>
    </row>
    <row r="72" spans="4:13" x14ac:dyDescent="0.3">
      <c r="E72" s="248" t="s">
        <v>493</v>
      </c>
      <c r="F72" s="1">
        <v>9</v>
      </c>
      <c r="M72" s="1" t="s">
        <v>659</v>
      </c>
    </row>
    <row r="73" spans="4:13" x14ac:dyDescent="0.3">
      <c r="E73" s="248" t="s">
        <v>494</v>
      </c>
      <c r="F73" s="1">
        <v>10</v>
      </c>
      <c r="J73" s="145" t="s">
        <v>574</v>
      </c>
      <c r="L73" s="145" t="s">
        <v>584</v>
      </c>
      <c r="M73" s="1" t="s">
        <v>659</v>
      </c>
    </row>
    <row r="74" spans="4:13" x14ac:dyDescent="0.3">
      <c r="E74" s="248" t="s">
        <v>495</v>
      </c>
      <c r="F74" s="1">
        <v>11</v>
      </c>
      <c r="J74" s="276" t="s">
        <v>575</v>
      </c>
      <c r="L74" s="276" t="s">
        <v>585</v>
      </c>
      <c r="M74" s="1" t="s">
        <v>659</v>
      </c>
    </row>
    <row r="75" spans="4:13" x14ac:dyDescent="0.3">
      <c r="E75" s="248" t="s">
        <v>496</v>
      </c>
      <c r="F75" s="1">
        <v>12</v>
      </c>
      <c r="J75" s="180" t="s">
        <v>608</v>
      </c>
      <c r="L75" s="276" t="s">
        <v>586</v>
      </c>
    </row>
    <row r="76" spans="4:13" x14ac:dyDescent="0.3">
      <c r="E76" s="248" t="s">
        <v>497</v>
      </c>
      <c r="J76" s="180" t="s">
        <v>609</v>
      </c>
    </row>
    <row r="77" spans="4:13" x14ac:dyDescent="0.3">
      <c r="E77" s="248" t="s">
        <v>498</v>
      </c>
      <c r="F77" s="330" t="s">
        <v>660</v>
      </c>
      <c r="J77" s="180" t="s">
        <v>635</v>
      </c>
    </row>
    <row r="78" spans="4:13" x14ac:dyDescent="0.3">
      <c r="E78" s="248" t="s">
        <v>499</v>
      </c>
      <c r="F78" s="283" t="s">
        <v>661</v>
      </c>
    </row>
    <row r="79" spans="4:13" x14ac:dyDescent="0.3">
      <c r="E79" s="248" t="s">
        <v>500</v>
      </c>
      <c r="F79" s="283" t="s">
        <v>646</v>
      </c>
    </row>
    <row r="80" spans="4:13" x14ac:dyDescent="0.3">
      <c r="E80" s="248" t="s">
        <v>501</v>
      </c>
      <c r="F80" s="283" t="s">
        <v>552</v>
      </c>
    </row>
    <row r="81" spans="5:6" x14ac:dyDescent="0.3">
      <c r="E81" s="248" t="s">
        <v>502</v>
      </c>
      <c r="F81" s="283" t="s">
        <v>649</v>
      </c>
    </row>
    <row r="82" spans="5:6" x14ac:dyDescent="0.3">
      <c r="E82" s="248" t="s">
        <v>503</v>
      </c>
      <c r="F82" s="283" t="s">
        <v>712</v>
      </c>
    </row>
    <row r="83" spans="5:6" x14ac:dyDescent="0.3">
      <c r="E83" s="248" t="s">
        <v>504</v>
      </c>
      <c r="F83" s="283" t="s">
        <v>713</v>
      </c>
    </row>
    <row r="84" spans="5:6" x14ac:dyDescent="0.3">
      <c r="E84" s="248" t="s">
        <v>505</v>
      </c>
    </row>
    <row r="85" spans="5:6" x14ac:dyDescent="0.3">
      <c r="E85" s="248" t="s">
        <v>506</v>
      </c>
    </row>
    <row r="86" spans="5:6" x14ac:dyDescent="0.3">
      <c r="E86" s="248" t="s">
        <v>507</v>
      </c>
    </row>
    <row r="87" spans="5:6" x14ac:dyDescent="0.3">
      <c r="E87" s="248" t="s">
        <v>508</v>
      </c>
    </row>
    <row r="95" spans="5:6" x14ac:dyDescent="0.3">
      <c r="E95" s="250"/>
    </row>
  </sheetData>
  <customSheetViews>
    <customSheetView guid="{D1431318-1DB8-4C45-813B-5A8065DFC797}" fitToPage="1" topLeftCell="C1">
      <selection activeCell="J41" sqref="J41"/>
      <pageMargins left="0.7" right="0.7" top="0.75" bottom="0.75" header="0.3" footer="0.3"/>
      <pageSetup scale="76" fitToWidth="3" orientation="portrait" horizontalDpi="1200" verticalDpi="1200" r:id="rId1"/>
    </customSheetView>
  </customSheetViews>
  <pageMargins left="0.7" right="0.7" top="0.75" bottom="0.75" header="0.3" footer="0.3"/>
  <pageSetup scale="76" fitToWidth="3"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5"/>
  </sheetPr>
  <dimension ref="A1:AN86"/>
  <sheetViews>
    <sheetView showGridLines="0" showZeros="0" view="pageBreakPreview" topLeftCell="A34" zoomScaleNormal="100" zoomScaleSheetLayoutView="100" workbookViewId="0">
      <selection activeCell="K55" sqref="K55:L55"/>
    </sheetView>
  </sheetViews>
  <sheetFormatPr defaultColWidth="5.42578125" defaultRowHeight="15" x14ac:dyDescent="0.3"/>
  <cols>
    <col min="1" max="1" width="5.42578125" style="2" customWidth="1"/>
    <col min="2" max="20" width="5.42578125" style="1" customWidth="1"/>
    <col min="21" max="21" width="19.42578125" style="1" customWidth="1"/>
    <col min="22" max="31" width="5.42578125" style="1" customWidth="1"/>
    <col min="32" max="32" width="16" style="1" customWidth="1"/>
    <col min="33" max="33" width="5.42578125" style="1" customWidth="1"/>
    <col min="34" max="34" width="7.85546875" style="1" customWidth="1"/>
    <col min="35" max="35" width="5.42578125" style="1"/>
    <col min="36" max="36" width="7.42578125" style="1" bestFit="1" customWidth="1"/>
    <col min="37" max="16384" width="5.42578125" style="1"/>
  </cols>
  <sheetData>
    <row r="1" spans="1:40" s="2" customFormat="1" ht="54.95" customHeight="1" x14ac:dyDescent="0.3">
      <c r="B1" s="123"/>
      <c r="C1" s="123"/>
      <c r="E1" s="440" t="s">
        <v>640</v>
      </c>
      <c r="F1" s="440"/>
      <c r="G1" s="440"/>
      <c r="H1" s="440"/>
      <c r="I1" s="440"/>
      <c r="J1" s="440"/>
      <c r="K1" s="440"/>
      <c r="L1" s="440"/>
      <c r="M1" s="440"/>
      <c r="N1" s="321"/>
      <c r="O1" s="264"/>
      <c r="P1" s="264"/>
      <c r="Q1" s="264"/>
      <c r="R1" s="264"/>
      <c r="AH1" s="14"/>
      <c r="AI1" s="124"/>
      <c r="AJ1" s="62"/>
      <c r="AM1" s="124"/>
      <c r="AN1" s="70"/>
    </row>
    <row r="2" spans="1:40" s="147" customFormat="1" ht="15.6" customHeight="1" x14ac:dyDescent="0.3">
      <c r="A2" s="258"/>
      <c r="B2" s="259"/>
      <c r="C2" s="259"/>
      <c r="D2" s="259"/>
      <c r="E2" s="259"/>
      <c r="F2" s="259"/>
      <c r="G2" s="259"/>
      <c r="H2" s="259"/>
      <c r="I2" s="449" t="s">
        <v>431</v>
      </c>
      <c r="J2" s="449"/>
      <c r="K2" s="450" t="e">
        <f>IF(ISBLANK(#REF!)," ",#REF!)</f>
        <v>#REF!</v>
      </c>
      <c r="L2" s="450"/>
      <c r="M2" s="259"/>
      <c r="N2" s="259"/>
      <c r="O2" s="259"/>
      <c r="P2" s="259"/>
      <c r="Q2" s="259"/>
      <c r="R2" s="260" t="str">
        <f>'Drop-Down Lists'!J40</f>
        <v>v 9.9.2021</v>
      </c>
    </row>
    <row r="3" spans="1:40" s="147" customFormat="1" ht="5.45" customHeight="1" x14ac:dyDescent="0.3">
      <c r="A3" s="387"/>
      <c r="B3" s="388"/>
      <c r="C3" s="388"/>
      <c r="D3" s="388"/>
      <c r="E3" s="388"/>
      <c r="F3" s="388"/>
      <c r="G3" s="388"/>
      <c r="H3" s="388"/>
      <c r="I3" s="389"/>
      <c r="J3" s="389"/>
      <c r="K3" s="390"/>
      <c r="L3" s="390"/>
      <c r="M3" s="388"/>
      <c r="N3" s="388"/>
      <c r="O3" s="388"/>
      <c r="P3" s="388"/>
      <c r="Q3" s="388"/>
      <c r="R3" s="391"/>
    </row>
    <row r="4" spans="1:40" s="6" customFormat="1" ht="20.100000000000001" customHeight="1" x14ac:dyDescent="0.3">
      <c r="A4" s="373" t="s">
        <v>25</v>
      </c>
      <c r="B4" s="377" t="s">
        <v>435</v>
      </c>
      <c r="C4" s="181"/>
      <c r="D4" s="181"/>
      <c r="E4" s="181"/>
      <c r="F4" s="181"/>
      <c r="G4" s="181"/>
      <c r="H4" s="181"/>
      <c r="I4" s="182"/>
      <c r="J4" s="432"/>
      <c r="K4" s="433"/>
      <c r="L4" s="183" t="s">
        <v>29</v>
      </c>
      <c r="M4" s="4"/>
      <c r="N4" s="4"/>
      <c r="O4" s="4"/>
      <c r="P4" s="4"/>
      <c r="Q4" s="4"/>
      <c r="R4" s="36"/>
      <c r="AG4" s="1"/>
      <c r="AH4" s="14"/>
      <c r="AI4" s="33"/>
      <c r="AJ4" s="83"/>
      <c r="AK4" s="1"/>
      <c r="AL4" s="1"/>
      <c r="AM4" s="33"/>
    </row>
    <row r="5" spans="1:40" ht="20.100000000000001" customHeight="1" x14ac:dyDescent="0.3">
      <c r="A5" s="373" t="s">
        <v>26</v>
      </c>
      <c r="B5" s="319" t="s">
        <v>561</v>
      </c>
      <c r="C5" s="4"/>
      <c r="D5" s="319"/>
      <c r="E5" s="319"/>
      <c r="F5" s="319"/>
      <c r="G5" s="319"/>
      <c r="H5" s="4"/>
      <c r="I5" s="4"/>
      <c r="J5" s="187"/>
      <c r="K5" s="187"/>
      <c r="L5" s="4"/>
      <c r="M5" s="2"/>
      <c r="N5" s="363"/>
      <c r="O5" s="363"/>
      <c r="P5" s="4"/>
      <c r="Q5" s="4"/>
      <c r="R5" s="36"/>
      <c r="AN5" s="70"/>
    </row>
    <row r="6" spans="1:40" ht="6" customHeight="1" x14ac:dyDescent="0.3">
      <c r="A6" s="373"/>
      <c r="B6" s="7"/>
      <c r="C6" s="2"/>
      <c r="D6" s="319"/>
      <c r="E6" s="319"/>
      <c r="F6" s="319"/>
      <c r="G6" s="319"/>
      <c r="H6" s="2"/>
      <c r="I6" s="2"/>
      <c r="J6" s="320"/>
      <c r="K6" s="320"/>
      <c r="L6" s="2"/>
      <c r="M6" s="285"/>
      <c r="N6" s="285"/>
      <c r="O6" s="285"/>
      <c r="P6" s="2"/>
      <c r="Q6" s="2"/>
      <c r="R6" s="52"/>
    </row>
    <row r="7" spans="1:40" ht="20.100000000000001" customHeight="1" x14ac:dyDescent="0.3">
      <c r="A7" s="61"/>
      <c r="B7" s="2"/>
      <c r="C7" s="2"/>
      <c r="D7" s="188" t="s">
        <v>566</v>
      </c>
      <c r="E7" s="441" t="str">
        <f>IF(ISBLANK(J4)," ",J4)</f>
        <v xml:space="preserve"> </v>
      </c>
      <c r="F7" s="442"/>
      <c r="G7" s="417" t="s">
        <v>567</v>
      </c>
      <c r="H7" s="418"/>
      <c r="I7" s="419"/>
      <c r="J7" s="415"/>
      <c r="K7" s="416"/>
      <c r="L7" s="2" t="s">
        <v>315</v>
      </c>
      <c r="M7" s="136"/>
      <c r="N7" s="445" t="s">
        <v>546</v>
      </c>
      <c r="O7" s="445"/>
      <c r="P7" s="445"/>
      <c r="Q7" s="445"/>
      <c r="R7" s="446"/>
    </row>
    <row r="8" spans="1:40" ht="6" customHeight="1" x14ac:dyDescent="0.3">
      <c r="A8" s="373"/>
      <c r="B8" s="7"/>
      <c r="C8" s="2"/>
      <c r="D8" s="319"/>
      <c r="E8" s="319"/>
      <c r="F8" s="319"/>
      <c r="G8" s="319"/>
      <c r="H8" s="2"/>
      <c r="I8" s="2"/>
      <c r="J8" s="320"/>
      <c r="K8" s="320"/>
      <c r="L8" s="2"/>
      <c r="M8" s="285"/>
      <c r="N8" s="285"/>
      <c r="O8" s="285"/>
      <c r="P8" s="2"/>
      <c r="Q8" s="2"/>
      <c r="R8" s="52"/>
    </row>
    <row r="9" spans="1:40" ht="20.100000000000001" customHeight="1" x14ac:dyDescent="0.3">
      <c r="A9" s="373" t="s">
        <v>63</v>
      </c>
      <c r="B9" s="319" t="s">
        <v>437</v>
      </c>
      <c r="C9" s="4"/>
      <c r="D9" s="319"/>
      <c r="E9" s="319"/>
      <c r="F9" s="319"/>
      <c r="G9" s="319"/>
      <c r="H9" s="4"/>
      <c r="I9" s="4"/>
      <c r="J9" s="451"/>
      <c r="K9" s="452"/>
      <c r="L9" s="4" t="s">
        <v>315</v>
      </c>
      <c r="M9" s="363"/>
      <c r="N9" s="363"/>
      <c r="O9" s="363"/>
      <c r="P9" s="4"/>
      <c r="Q9" s="4"/>
      <c r="R9" s="36"/>
      <c r="AN9" s="70"/>
    </row>
    <row r="10" spans="1:40" ht="9.75" customHeight="1" x14ac:dyDescent="0.3">
      <c r="A10" s="373"/>
      <c r="B10" s="7" t="s">
        <v>642</v>
      </c>
      <c r="C10" s="319"/>
      <c r="D10" s="319"/>
      <c r="E10" s="319"/>
      <c r="F10" s="2"/>
      <c r="G10" s="2"/>
      <c r="H10" s="2"/>
      <c r="I10" s="2"/>
      <c r="J10" s="453"/>
      <c r="K10" s="453"/>
      <c r="L10" s="377"/>
      <c r="M10" s="2"/>
      <c r="N10" s="285"/>
      <c r="O10" s="285"/>
      <c r="P10" s="2"/>
      <c r="Q10" s="2"/>
      <c r="R10" s="52"/>
      <c r="AN10" s="28"/>
    </row>
    <row r="11" spans="1:40" ht="20.100000000000001" customHeight="1" x14ac:dyDescent="0.3">
      <c r="A11" s="373" t="s">
        <v>64</v>
      </c>
      <c r="B11" s="319" t="s">
        <v>40</v>
      </c>
      <c r="C11" s="319"/>
      <c r="D11" s="319"/>
      <c r="E11" s="319"/>
      <c r="F11" s="2"/>
      <c r="G11" s="2"/>
      <c r="H11" s="2"/>
      <c r="I11" s="2"/>
      <c r="J11" s="432"/>
      <c r="K11" s="433"/>
      <c r="L11" s="377" t="s">
        <v>29</v>
      </c>
      <c r="M11" s="2"/>
      <c r="N11" s="285"/>
      <c r="O11" s="285"/>
      <c r="P11" s="2"/>
      <c r="Q11" s="2"/>
      <c r="R11" s="52"/>
      <c r="AN11" s="28"/>
    </row>
    <row r="12" spans="1:40" ht="6" customHeight="1" x14ac:dyDescent="0.3">
      <c r="A12" s="373"/>
      <c r="B12" s="7"/>
      <c r="C12" s="2"/>
      <c r="D12" s="319"/>
      <c r="E12" s="319"/>
      <c r="F12" s="319"/>
      <c r="G12" s="319"/>
      <c r="H12" s="2"/>
      <c r="I12" s="2"/>
      <c r="J12" s="320"/>
      <c r="K12" s="320"/>
      <c r="L12" s="2"/>
      <c r="M12" s="285"/>
      <c r="N12" s="285"/>
      <c r="O12" s="285"/>
      <c r="P12" s="2"/>
      <c r="Q12" s="2"/>
      <c r="R12" s="52"/>
    </row>
    <row r="13" spans="1:40" ht="18" customHeight="1" x14ac:dyDescent="0.3">
      <c r="A13" s="135" t="s">
        <v>28</v>
      </c>
      <c r="B13" s="319" t="s">
        <v>436</v>
      </c>
      <c r="C13" s="319"/>
      <c r="D13" s="319"/>
      <c r="E13" s="319"/>
      <c r="F13" s="2"/>
      <c r="G13" s="2"/>
      <c r="H13" s="2"/>
      <c r="I13" s="2"/>
      <c r="J13" s="454"/>
      <c r="K13" s="455"/>
      <c r="L13" s="377" t="s">
        <v>31</v>
      </c>
      <c r="M13" s="2"/>
      <c r="N13" s="76">
        <f>IF(J13="1/4","0.25",IF(J13="3/16","0.1875",IF(J13="1/8","0.125",IF(J13="7/32","0.21875",))))</f>
        <v>0</v>
      </c>
      <c r="O13" s="285"/>
      <c r="P13" s="2"/>
      <c r="Q13" s="2"/>
      <c r="R13" s="52"/>
    </row>
    <row r="14" spans="1:40" ht="20.100000000000001" customHeight="1" x14ac:dyDescent="0.3">
      <c r="A14" s="373" t="s">
        <v>30</v>
      </c>
      <c r="B14" s="9" t="s">
        <v>432</v>
      </c>
      <c r="C14" s="371"/>
      <c r="D14" s="371"/>
      <c r="E14" s="371"/>
      <c r="F14" s="371"/>
      <c r="G14" s="371"/>
      <c r="H14" s="371"/>
      <c r="I14" s="371"/>
      <c r="J14" s="371"/>
      <c r="K14" s="371"/>
      <c r="L14" s="371"/>
      <c r="M14" s="285"/>
      <c r="N14" s="285"/>
      <c r="O14" s="285"/>
      <c r="P14" s="2"/>
      <c r="Q14" s="2"/>
      <c r="R14" s="52"/>
    </row>
    <row r="15" spans="1:40" ht="6" customHeight="1" x14ac:dyDescent="0.3">
      <c r="A15" s="61"/>
      <c r="B15" s="371"/>
      <c r="C15" s="371"/>
      <c r="D15" s="371"/>
      <c r="E15" s="371"/>
      <c r="F15" s="371"/>
      <c r="G15" s="371"/>
      <c r="H15" s="371"/>
      <c r="I15" s="371"/>
      <c r="J15" s="371"/>
      <c r="K15" s="371"/>
      <c r="L15" s="371"/>
      <c r="M15" s="285"/>
      <c r="N15" s="285"/>
      <c r="O15" s="285"/>
      <c r="P15" s="2"/>
      <c r="Q15" s="2"/>
      <c r="R15" s="52"/>
    </row>
    <row r="16" spans="1:40" ht="18" customHeight="1" x14ac:dyDescent="0.3">
      <c r="A16" s="61"/>
      <c r="B16" s="456"/>
      <c r="C16" s="457"/>
      <c r="D16" s="367" t="s">
        <v>65</v>
      </c>
      <c r="E16" s="367" t="s">
        <v>153</v>
      </c>
      <c r="F16" s="367" t="s">
        <v>38</v>
      </c>
      <c r="G16" s="434" t="str">
        <f>IF(ISBLANK(J9)," ",B16-2)</f>
        <v xml:space="preserve"> </v>
      </c>
      <c r="H16" s="435"/>
      <c r="I16" s="380" t="s">
        <v>29</v>
      </c>
      <c r="J16" s="365" t="s">
        <v>433</v>
      </c>
      <c r="K16" s="2"/>
      <c r="L16" s="285"/>
      <c r="M16" s="285"/>
      <c r="N16" s="285"/>
      <c r="O16" s="285"/>
      <c r="P16" s="2"/>
      <c r="Q16" s="2"/>
      <c r="R16" s="52"/>
    </row>
    <row r="17" spans="1:34" ht="6" customHeight="1" x14ac:dyDescent="0.3">
      <c r="A17" s="61"/>
      <c r="B17" s="371"/>
      <c r="C17" s="371"/>
      <c r="D17" s="371"/>
      <c r="E17" s="371"/>
      <c r="F17" s="371"/>
      <c r="G17" s="371"/>
      <c r="H17" s="371"/>
      <c r="I17" s="371"/>
      <c r="J17" s="371"/>
      <c r="K17" s="371"/>
      <c r="L17" s="371"/>
      <c r="M17" s="285"/>
      <c r="N17" s="285"/>
      <c r="O17" s="285"/>
      <c r="P17" s="2"/>
      <c r="Q17" s="2"/>
      <c r="R17" s="52"/>
    </row>
    <row r="18" spans="1:34" ht="20.100000000000001" customHeight="1" x14ac:dyDescent="0.3">
      <c r="A18" s="186" t="s">
        <v>32</v>
      </c>
      <c r="B18" s="421" t="s">
        <v>521</v>
      </c>
      <c r="C18" s="421"/>
      <c r="D18" s="421"/>
      <c r="E18" s="421"/>
      <c r="F18" s="421"/>
      <c r="G18" s="421"/>
      <c r="H18" s="421"/>
      <c r="I18" s="421"/>
      <c r="J18" s="421"/>
      <c r="K18" s="421"/>
      <c r="L18" s="421"/>
      <c r="M18" s="421"/>
      <c r="N18" s="421"/>
      <c r="O18" s="421"/>
      <c r="P18" s="421"/>
      <c r="Q18" s="421"/>
      <c r="R18" s="422"/>
    </row>
    <row r="19" spans="1:34" ht="6" customHeight="1" x14ac:dyDescent="0.3">
      <c r="A19" s="373"/>
      <c r="B19" s="421"/>
      <c r="C19" s="421"/>
      <c r="D19" s="421"/>
      <c r="E19" s="421"/>
      <c r="F19" s="421"/>
      <c r="G19" s="421"/>
      <c r="H19" s="421"/>
      <c r="I19" s="421"/>
      <c r="J19" s="421"/>
      <c r="K19" s="421"/>
      <c r="L19" s="421"/>
      <c r="M19" s="421"/>
      <c r="N19" s="421"/>
      <c r="O19" s="421"/>
      <c r="P19" s="421"/>
      <c r="Q19" s="421"/>
      <c r="R19" s="422"/>
    </row>
    <row r="20" spans="1:34" ht="6" customHeight="1" x14ac:dyDescent="0.3">
      <c r="A20" s="374"/>
      <c r="B20" s="319"/>
      <c r="C20" s="319"/>
      <c r="D20" s="319"/>
      <c r="E20" s="319"/>
      <c r="F20" s="320"/>
      <c r="G20" s="320"/>
      <c r="H20" s="367"/>
      <c r="I20" s="320"/>
      <c r="J20" s="320"/>
      <c r="K20" s="2"/>
      <c r="L20" s="285"/>
      <c r="M20" s="285"/>
      <c r="N20" s="285"/>
      <c r="O20" s="285"/>
      <c r="P20" s="2"/>
      <c r="Q20" s="2"/>
      <c r="R20" s="52"/>
    </row>
    <row r="21" spans="1:34" ht="18" customHeight="1" x14ac:dyDescent="0.3">
      <c r="A21" s="61"/>
      <c r="B21" s="9" t="s">
        <v>643</v>
      </c>
      <c r="C21" s="319"/>
      <c r="D21" s="2"/>
      <c r="E21" s="2"/>
      <c r="F21" s="2"/>
      <c r="G21" s="434" t="str">
        <f>IF(ISBLANK(J9),"",G16)</f>
        <v/>
      </c>
      <c r="H21" s="435"/>
      <c r="I21" s="377" t="s">
        <v>29</v>
      </c>
      <c r="J21" s="376" t="s">
        <v>300</v>
      </c>
      <c r="K21" s="427" t="str">
        <f>IF(ISBLANK(J11)," ",J11)</f>
        <v xml:space="preserve"> </v>
      </c>
      <c r="L21" s="428"/>
      <c r="M21" s="377" t="s">
        <v>29</v>
      </c>
      <c r="N21" s="367" t="s">
        <v>38</v>
      </c>
      <c r="O21" s="423" t="str">
        <f>IF(ISERROR(ROUNDDOWN((G21/K21),0))," ",ROUNDDOWN((G21/K21),0))</f>
        <v xml:space="preserve"> </v>
      </c>
      <c r="P21" s="424"/>
      <c r="Q21" s="319" t="s">
        <v>43</v>
      </c>
      <c r="R21" s="52"/>
    </row>
    <row r="22" spans="1:34" ht="6" customHeight="1" x14ac:dyDescent="0.3">
      <c r="A22" s="374"/>
      <c r="B22" s="319"/>
      <c r="C22" s="319"/>
      <c r="D22" s="319"/>
      <c r="E22" s="319"/>
      <c r="F22" s="320"/>
      <c r="G22" s="320"/>
      <c r="H22" s="367"/>
      <c r="I22" s="320"/>
      <c r="J22" s="320"/>
      <c r="K22" s="2"/>
      <c r="L22" s="285"/>
      <c r="M22" s="285"/>
      <c r="N22" s="285"/>
      <c r="O22" s="285"/>
      <c r="P22" s="2"/>
      <c r="Q22" s="2"/>
      <c r="R22" s="52"/>
    </row>
    <row r="23" spans="1:34" ht="40.5" customHeight="1" x14ac:dyDescent="0.3">
      <c r="A23" s="186" t="s">
        <v>34</v>
      </c>
      <c r="B23" s="436" t="s">
        <v>524</v>
      </c>
      <c r="C23" s="437"/>
      <c r="D23" s="437"/>
      <c r="E23" s="437"/>
      <c r="F23" s="437"/>
      <c r="G23" s="437"/>
      <c r="H23" s="437"/>
      <c r="I23" s="437"/>
      <c r="J23" s="437"/>
      <c r="K23" s="437"/>
      <c r="L23" s="437"/>
      <c r="M23" s="437"/>
      <c r="N23" s="437"/>
      <c r="O23" s="437"/>
      <c r="P23" s="437"/>
      <c r="Q23" s="437"/>
      <c r="R23" s="438"/>
      <c r="AF23" s="2"/>
      <c r="AH23" s="42"/>
    </row>
    <row r="24" spans="1:34" ht="6" customHeight="1" x14ac:dyDescent="0.3">
      <c r="A24" s="374"/>
      <c r="B24" s="319"/>
      <c r="C24" s="319"/>
      <c r="D24" s="319"/>
      <c r="E24" s="319"/>
      <c r="F24" s="320"/>
      <c r="G24" s="320"/>
      <c r="H24" s="367"/>
      <c r="I24" s="320"/>
      <c r="J24" s="320"/>
      <c r="K24" s="2"/>
      <c r="L24" s="285"/>
      <c r="M24" s="285"/>
      <c r="N24" s="285"/>
      <c r="O24" s="285"/>
      <c r="P24" s="2"/>
      <c r="Q24" s="2"/>
      <c r="R24" s="52"/>
    </row>
    <row r="25" spans="1:34" ht="18" customHeight="1" x14ac:dyDescent="0.3">
      <c r="A25" s="374"/>
      <c r="B25" s="447" t="s">
        <v>46</v>
      </c>
      <c r="C25" s="447"/>
      <c r="D25" s="447"/>
      <c r="E25" s="447"/>
      <c r="F25" s="447"/>
      <c r="G25" s="448"/>
      <c r="H25" s="423" t="str">
        <f>O21</f>
        <v xml:space="preserve"> </v>
      </c>
      <c r="I25" s="424"/>
      <c r="J25" s="63" t="s">
        <v>522</v>
      </c>
      <c r="K25" s="319"/>
      <c r="L25" s="367"/>
      <c r="M25" s="423" t="str">
        <f>IF(ISERROR(H25+1)," ",H25+1)</f>
        <v xml:space="preserve"> </v>
      </c>
      <c r="N25" s="424"/>
      <c r="O25" s="2" t="s">
        <v>263</v>
      </c>
      <c r="P25" s="2"/>
      <c r="Q25" s="2"/>
      <c r="R25" s="52"/>
      <c r="V25" s="11"/>
      <c r="X25" s="2"/>
      <c r="Y25" s="3"/>
      <c r="Z25" s="3"/>
      <c r="AA25" s="3"/>
      <c r="AB25" s="3"/>
      <c r="AC25" s="3"/>
      <c r="AD25" s="3"/>
      <c r="AE25" s="3"/>
      <c r="AF25" s="2"/>
      <c r="AH25" s="42"/>
    </row>
    <row r="26" spans="1:34" ht="34.5" customHeight="1" x14ac:dyDescent="0.3">
      <c r="A26" s="374"/>
      <c r="B26" s="429"/>
      <c r="C26" s="430"/>
      <c r="D26" s="430"/>
      <c r="E26" s="430"/>
      <c r="F26" s="430"/>
      <c r="G26" s="430"/>
      <c r="H26" s="430"/>
      <c r="I26" s="430"/>
      <c r="J26" s="430"/>
      <c r="K26" s="430"/>
      <c r="L26" s="430"/>
      <c r="M26" s="430"/>
      <c r="N26" s="430"/>
      <c r="O26" s="430"/>
      <c r="P26" s="430"/>
      <c r="Q26" s="430"/>
      <c r="R26" s="431"/>
      <c r="V26" s="11"/>
      <c r="X26" s="2"/>
      <c r="Y26" s="3"/>
      <c r="Z26" s="3"/>
      <c r="AA26" s="3"/>
      <c r="AB26" s="3"/>
      <c r="AC26" s="3"/>
      <c r="AD26" s="3"/>
      <c r="AE26" s="3"/>
      <c r="AF26" s="2"/>
      <c r="AH26" s="42"/>
    </row>
    <row r="27" spans="1:34" ht="34.5" customHeight="1" x14ac:dyDescent="0.3">
      <c r="A27" s="374"/>
      <c r="B27" s="63"/>
      <c r="C27" s="319"/>
      <c r="D27" s="319"/>
      <c r="E27" s="319"/>
      <c r="F27" s="319"/>
      <c r="G27" s="319"/>
      <c r="H27" s="319"/>
      <c r="I27" s="319"/>
      <c r="J27" s="319"/>
      <c r="K27" s="2"/>
      <c r="L27" s="2"/>
      <c r="M27" s="2"/>
      <c r="N27" s="2"/>
      <c r="O27" s="2"/>
      <c r="P27" s="2"/>
      <c r="Q27" s="2"/>
      <c r="R27" s="52"/>
      <c r="V27" s="11"/>
      <c r="X27" s="2"/>
      <c r="Y27" s="3"/>
      <c r="Z27" s="3"/>
      <c r="AA27" s="3"/>
      <c r="AB27" s="3"/>
      <c r="AC27" s="3"/>
      <c r="AD27" s="3"/>
      <c r="AE27" s="3"/>
      <c r="AF27" s="2"/>
      <c r="AH27" s="42"/>
    </row>
    <row r="28" spans="1:34" ht="34.5" customHeight="1" x14ac:dyDescent="0.3">
      <c r="A28" s="374"/>
      <c r="B28" s="63"/>
      <c r="C28" s="319"/>
      <c r="D28" s="319"/>
      <c r="E28" s="319"/>
      <c r="F28" s="319"/>
      <c r="G28" s="319"/>
      <c r="H28" s="319"/>
      <c r="I28" s="319"/>
      <c r="J28" s="319"/>
      <c r="K28" s="2"/>
      <c r="L28" s="2"/>
      <c r="M28" s="2"/>
      <c r="N28" s="2"/>
      <c r="O28" s="2"/>
      <c r="P28" s="2"/>
      <c r="Q28" s="2"/>
      <c r="R28" s="52"/>
      <c r="V28" s="11"/>
      <c r="X28" s="2"/>
      <c r="Y28" s="3"/>
      <c r="Z28" s="3"/>
      <c r="AA28" s="3"/>
      <c r="AB28" s="3"/>
      <c r="AC28" s="3"/>
      <c r="AD28" s="3"/>
      <c r="AE28" s="3"/>
      <c r="AF28" s="2"/>
      <c r="AH28" s="42"/>
    </row>
    <row r="29" spans="1:34" ht="34.5" customHeight="1" x14ac:dyDescent="0.3">
      <c r="A29" s="374"/>
      <c r="B29" s="63"/>
      <c r="C29" s="319"/>
      <c r="D29" s="319"/>
      <c r="E29" s="319"/>
      <c r="F29" s="319"/>
      <c r="G29" s="319"/>
      <c r="H29" s="319"/>
      <c r="I29" s="319"/>
      <c r="J29" s="319"/>
      <c r="K29" s="2"/>
      <c r="L29" s="2"/>
      <c r="M29" s="2"/>
      <c r="N29" s="2"/>
      <c r="O29" s="2"/>
      <c r="P29" s="2"/>
      <c r="Q29" s="2"/>
      <c r="R29" s="52"/>
      <c r="V29" s="11"/>
      <c r="X29" s="2"/>
      <c r="Y29" s="3"/>
      <c r="Z29" s="3"/>
      <c r="AA29" s="3"/>
      <c r="AB29" s="3"/>
      <c r="AC29" s="3"/>
      <c r="AD29" s="3"/>
      <c r="AE29" s="3"/>
      <c r="AF29" s="2"/>
      <c r="AH29" s="42"/>
    </row>
    <row r="30" spans="1:34" ht="34.5" customHeight="1" x14ac:dyDescent="0.3">
      <c r="A30" s="374"/>
      <c r="B30" s="63"/>
      <c r="C30" s="319"/>
      <c r="D30" s="319"/>
      <c r="E30" s="319"/>
      <c r="F30" s="319"/>
      <c r="G30" s="319"/>
      <c r="H30" s="319"/>
      <c r="I30" s="319"/>
      <c r="J30" s="319"/>
      <c r="K30" s="2"/>
      <c r="L30" s="2"/>
      <c r="M30" s="2"/>
      <c r="N30" s="2"/>
      <c r="O30" s="2"/>
      <c r="P30" s="2"/>
      <c r="Q30" s="2"/>
      <c r="R30" s="52"/>
      <c r="V30" s="11"/>
      <c r="X30" s="2"/>
      <c r="Y30" s="3"/>
      <c r="Z30" s="3"/>
      <c r="AA30" s="3"/>
      <c r="AB30" s="3"/>
      <c r="AC30" s="3"/>
      <c r="AD30" s="3"/>
      <c r="AE30" s="3"/>
      <c r="AF30" s="2"/>
      <c r="AH30" s="42"/>
    </row>
    <row r="31" spans="1:34" ht="34.5" customHeight="1" x14ac:dyDescent="0.3">
      <c r="A31" s="374"/>
      <c r="B31" s="63"/>
      <c r="C31" s="319"/>
      <c r="D31" s="319"/>
      <c r="E31" s="319"/>
      <c r="F31" s="319"/>
      <c r="G31" s="319"/>
      <c r="H31" s="319"/>
      <c r="I31" s="319"/>
      <c r="J31" s="319"/>
      <c r="K31" s="2"/>
      <c r="L31" s="2"/>
      <c r="M31" s="2"/>
      <c r="N31" s="2"/>
      <c r="O31" s="2"/>
      <c r="P31" s="2"/>
      <c r="Q31" s="2"/>
      <c r="R31" s="52"/>
      <c r="V31" s="11"/>
      <c r="X31" s="2"/>
      <c r="Y31" s="3"/>
      <c r="Z31" s="3"/>
      <c r="AA31" s="3"/>
      <c r="AB31" s="3"/>
      <c r="AC31" s="3"/>
      <c r="AD31" s="3"/>
      <c r="AE31" s="3"/>
      <c r="AF31" s="2"/>
      <c r="AH31" s="42"/>
    </row>
    <row r="32" spans="1:34" ht="6" customHeight="1" x14ac:dyDescent="0.3">
      <c r="A32" s="63"/>
      <c r="B32" s="256"/>
      <c r="C32" s="128"/>
      <c r="D32" s="377"/>
      <c r="E32" s="367"/>
      <c r="F32" s="367"/>
      <c r="G32" s="129"/>
      <c r="H32" s="129"/>
      <c r="I32" s="377"/>
      <c r="J32" s="2"/>
      <c r="K32" s="2"/>
      <c r="L32" s="367"/>
      <c r="M32" s="128"/>
      <c r="N32" s="128"/>
      <c r="O32" s="367"/>
      <c r="P32" s="4"/>
      <c r="Q32" s="4"/>
      <c r="R32" s="36"/>
      <c r="T32" s="2"/>
      <c r="U32" s="2"/>
      <c r="V32" s="2"/>
      <c r="W32" s="2"/>
      <c r="X32" s="2"/>
      <c r="Y32" s="2"/>
    </row>
    <row r="33" spans="1:26" s="4" customFormat="1" ht="132.94999999999999" customHeight="1" x14ac:dyDescent="0.3">
      <c r="A33" s="378"/>
      <c r="B33" s="293"/>
      <c r="C33" s="293"/>
      <c r="D33" s="87"/>
      <c r="E33" s="384"/>
      <c r="F33" s="80"/>
      <c r="G33" s="80"/>
      <c r="H33" s="294"/>
      <c r="I33" s="294"/>
      <c r="J33" s="293"/>
      <c r="K33" s="293"/>
      <c r="L33" s="379"/>
      <c r="M33" s="35"/>
      <c r="N33" s="35"/>
      <c r="O33" s="35"/>
      <c r="P33" s="385"/>
      <c r="Q33" s="385"/>
      <c r="R33" s="386"/>
      <c r="S33" s="381"/>
    </row>
    <row r="34" spans="1:26" ht="18" customHeight="1" x14ac:dyDescent="0.3">
      <c r="A34" s="383" t="s">
        <v>35</v>
      </c>
      <c r="B34" s="458" t="s">
        <v>523</v>
      </c>
      <c r="C34" s="458"/>
      <c r="D34" s="458"/>
      <c r="E34" s="458"/>
      <c r="F34" s="458"/>
      <c r="G34" s="458"/>
      <c r="H34" s="458"/>
      <c r="I34" s="458"/>
      <c r="J34" s="458"/>
      <c r="K34" s="458"/>
      <c r="L34" s="458"/>
      <c r="M34" s="458"/>
      <c r="N34" s="458"/>
      <c r="O34" s="458"/>
      <c r="P34" s="458"/>
      <c r="Q34" s="458"/>
      <c r="R34" s="459"/>
    </row>
    <row r="35" spans="1:26" ht="15" customHeight="1" x14ac:dyDescent="0.3">
      <c r="A35" s="374"/>
      <c r="B35" s="460"/>
      <c r="C35" s="460"/>
      <c r="D35" s="460"/>
      <c r="E35" s="460"/>
      <c r="F35" s="460"/>
      <c r="G35" s="460"/>
      <c r="H35" s="460"/>
      <c r="I35" s="460"/>
      <c r="J35" s="460"/>
      <c r="K35" s="460"/>
      <c r="L35" s="460"/>
      <c r="M35" s="460"/>
      <c r="N35" s="460"/>
      <c r="O35" s="460"/>
      <c r="P35" s="460"/>
      <c r="Q35" s="460"/>
      <c r="R35" s="461"/>
    </row>
    <row r="36" spans="1:26" ht="6" customHeight="1" x14ac:dyDescent="0.3">
      <c r="A36" s="63"/>
      <c r="B36" s="128"/>
      <c r="C36" s="128"/>
      <c r="D36" s="377"/>
      <c r="E36" s="367"/>
      <c r="F36" s="367"/>
      <c r="G36" s="129"/>
      <c r="H36" s="129"/>
      <c r="I36" s="377"/>
      <c r="J36" s="2"/>
      <c r="K36" s="2"/>
      <c r="L36" s="367"/>
      <c r="M36" s="128"/>
      <c r="N36" s="128"/>
      <c r="O36" s="367"/>
      <c r="P36" s="4"/>
      <c r="Q36" s="4"/>
      <c r="R36" s="36"/>
      <c r="T36" s="2"/>
      <c r="U36" s="2"/>
      <c r="V36" s="2"/>
      <c r="W36" s="2"/>
      <c r="X36" s="2"/>
      <c r="Y36" s="2"/>
    </row>
    <row r="37" spans="1:26" ht="20.100000000000001" customHeight="1" x14ac:dyDescent="0.3">
      <c r="A37" s="374"/>
      <c r="B37" s="423" t="str">
        <f>M25</f>
        <v xml:space="preserve"> </v>
      </c>
      <c r="C37" s="424"/>
      <c r="D37" s="377" t="s">
        <v>525</v>
      </c>
      <c r="E37" s="377"/>
      <c r="F37" s="377"/>
      <c r="G37" s="423" t="str">
        <f>IF(ISBLANK(J9)," ",J9)</f>
        <v xml:space="preserve"> </v>
      </c>
      <c r="H37" s="424"/>
      <c r="I37" s="377" t="s">
        <v>526</v>
      </c>
      <c r="J37" s="2"/>
      <c r="K37" s="2"/>
      <c r="L37" s="367"/>
      <c r="M37" s="423" t="str">
        <f>IF(ISERROR(B37*G37)," ",B37*G37)</f>
        <v xml:space="preserve"> </v>
      </c>
      <c r="N37" s="424"/>
      <c r="O37" s="377" t="s">
        <v>289</v>
      </c>
      <c r="P37" s="2"/>
      <c r="Q37" s="2"/>
      <c r="R37" s="52"/>
    </row>
    <row r="38" spans="1:26" s="4" customFormat="1" ht="6" customHeight="1" x14ac:dyDescent="0.3">
      <c r="A38" s="374"/>
      <c r="B38" s="320"/>
      <c r="C38" s="320"/>
      <c r="D38" s="380"/>
      <c r="E38" s="364"/>
      <c r="F38" s="45"/>
      <c r="G38" s="45"/>
      <c r="H38" s="363"/>
      <c r="I38" s="363"/>
      <c r="J38" s="320"/>
      <c r="K38" s="320"/>
      <c r="L38" s="367"/>
      <c r="P38" s="368"/>
      <c r="Q38" s="368"/>
      <c r="R38" s="369"/>
      <c r="S38" s="49"/>
    </row>
    <row r="39" spans="1:26" s="4" customFormat="1" ht="18" customHeight="1" x14ac:dyDescent="0.3">
      <c r="A39" s="373" t="s">
        <v>39</v>
      </c>
      <c r="B39" s="439" t="s">
        <v>718</v>
      </c>
      <c r="C39" s="439"/>
      <c r="D39" s="439"/>
      <c r="E39" s="439"/>
      <c r="F39" s="439"/>
      <c r="G39" s="439"/>
      <c r="H39" s="439"/>
      <c r="I39" s="439"/>
      <c r="J39" s="439"/>
      <c r="K39" s="439"/>
      <c r="L39" s="439"/>
      <c r="M39" s="439"/>
      <c r="O39" s="443"/>
      <c r="P39" s="444"/>
      <c r="Q39" s="60" t="s">
        <v>29</v>
      </c>
      <c r="R39" s="369"/>
      <c r="S39" s="329"/>
    </row>
    <row r="40" spans="1:26" s="4" customFormat="1" ht="6" customHeight="1" x14ac:dyDescent="0.3">
      <c r="A40" s="374"/>
      <c r="B40" s="320"/>
      <c r="C40" s="320"/>
      <c r="D40" s="380"/>
      <c r="E40" s="364"/>
      <c r="F40" s="45"/>
      <c r="G40" s="45"/>
      <c r="H40" s="363"/>
      <c r="I40" s="363"/>
      <c r="J40" s="320"/>
      <c r="K40" s="320"/>
      <c r="L40" s="367"/>
      <c r="P40" s="368"/>
      <c r="Q40" s="368"/>
      <c r="R40" s="369"/>
      <c r="S40" s="329"/>
    </row>
    <row r="41" spans="1:26" ht="18" customHeight="1" x14ac:dyDescent="0.3">
      <c r="A41" s="373" t="s">
        <v>41</v>
      </c>
      <c r="B41" s="319" t="s">
        <v>27</v>
      </c>
      <c r="C41" s="2"/>
      <c r="D41" s="319"/>
      <c r="E41" s="319"/>
      <c r="F41" s="319"/>
      <c r="G41" s="319"/>
      <c r="H41" s="2"/>
      <c r="I41" s="2"/>
      <c r="J41" s="128"/>
      <c r="K41" s="432"/>
      <c r="L41" s="433"/>
      <c r="M41" s="128"/>
      <c r="N41" s="2"/>
      <c r="O41" s="2"/>
      <c r="P41" s="377"/>
      <c r="Q41" s="4"/>
      <c r="R41" s="36"/>
      <c r="T41" s="2"/>
      <c r="U41" s="2"/>
      <c r="V41" s="2"/>
      <c r="W41" s="2"/>
      <c r="X41" s="2"/>
      <c r="Y41" s="2"/>
    </row>
    <row r="42" spans="1:26" ht="6" customHeight="1" x14ac:dyDescent="0.3">
      <c r="A42" s="63"/>
      <c r="B42" s="319"/>
      <c r="C42" s="320"/>
      <c r="D42" s="320"/>
      <c r="E42" s="363"/>
      <c r="F42" s="363"/>
      <c r="G42" s="363"/>
      <c r="H42" s="48"/>
      <c r="I42" s="48"/>
      <c r="J42" s="2"/>
      <c r="K42" s="367"/>
      <c r="L42" s="367"/>
      <c r="M42" s="2"/>
      <c r="N42" s="2"/>
      <c r="O42" s="2"/>
      <c r="P42" s="2"/>
      <c r="Q42" s="2"/>
      <c r="R42" s="52"/>
      <c r="T42" s="2"/>
      <c r="U42" s="2"/>
      <c r="V42" s="2"/>
      <c r="W42" s="2"/>
      <c r="X42" s="2"/>
      <c r="Y42" s="2"/>
      <c r="Z42" s="2"/>
    </row>
    <row r="43" spans="1:26" ht="20.100000000000001" customHeight="1" x14ac:dyDescent="0.3">
      <c r="A43" s="373" t="s">
        <v>44</v>
      </c>
      <c r="B43" s="7" t="s">
        <v>452</v>
      </c>
      <c r="C43" s="2"/>
      <c r="D43" s="2"/>
      <c r="E43" s="2"/>
      <c r="F43" s="2"/>
      <c r="G43" s="2"/>
      <c r="H43" s="2"/>
      <c r="I43" s="2"/>
      <c r="J43" s="2"/>
      <c r="K43" s="432"/>
      <c r="L43" s="433"/>
      <c r="M43" s="377" t="s">
        <v>31</v>
      </c>
      <c r="N43" s="382"/>
      <c r="O43" s="382"/>
      <c r="P43" s="382"/>
      <c r="Q43" s="2"/>
      <c r="R43" s="52"/>
    </row>
    <row r="44" spans="1:26" ht="6" customHeight="1" x14ac:dyDescent="0.3">
      <c r="A44" s="63"/>
      <c r="B44" s="128"/>
      <c r="C44" s="128"/>
      <c r="D44" s="377"/>
      <c r="E44" s="367"/>
      <c r="F44" s="367"/>
      <c r="G44" s="129"/>
      <c r="H44" s="129"/>
      <c r="I44" s="377"/>
      <c r="J44" s="2"/>
      <c r="K44" s="2"/>
      <c r="L44" s="367"/>
      <c r="M44" s="128"/>
      <c r="N44" s="128"/>
      <c r="O44" s="367"/>
      <c r="P44" s="4"/>
      <c r="Q44" s="4"/>
      <c r="R44" s="36"/>
      <c r="T44" s="2"/>
      <c r="U44" s="2"/>
      <c r="V44" s="2"/>
      <c r="W44" s="2"/>
      <c r="X44" s="2"/>
      <c r="Y44" s="2"/>
    </row>
    <row r="45" spans="1:26" ht="18" customHeight="1" x14ac:dyDescent="0.3">
      <c r="A45" s="79" t="s">
        <v>45</v>
      </c>
      <c r="B45" s="377" t="s">
        <v>694</v>
      </c>
      <c r="C45" s="2"/>
      <c r="D45" s="319"/>
      <c r="E45" s="319"/>
      <c r="F45" s="319"/>
      <c r="G45" s="319"/>
      <c r="H45" s="319"/>
      <c r="I45" s="319"/>
      <c r="J45" s="319"/>
      <c r="K45" s="2"/>
      <c r="L45" s="2"/>
      <c r="M45" s="2"/>
      <c r="N45" s="2"/>
      <c r="O45" s="2"/>
      <c r="P45" s="2"/>
      <c r="Q45" s="2"/>
      <c r="R45" s="52"/>
    </row>
    <row r="46" spans="1:26" s="4" customFormat="1" ht="18" customHeight="1" x14ac:dyDescent="0.3">
      <c r="A46" s="374"/>
      <c r="B46" s="392" t="s">
        <v>695</v>
      </c>
      <c r="C46" s="320"/>
      <c r="D46" s="380"/>
      <c r="E46" s="364"/>
      <c r="F46" s="45"/>
      <c r="G46" s="45"/>
      <c r="H46" s="363"/>
      <c r="I46" s="363"/>
      <c r="J46" s="320"/>
      <c r="K46" s="320"/>
      <c r="L46" s="367"/>
      <c r="P46" s="368"/>
      <c r="Q46" s="368"/>
      <c r="R46" s="369"/>
      <c r="S46" s="49"/>
    </row>
    <row r="47" spans="1:26" ht="18" customHeight="1" x14ac:dyDescent="0.3">
      <c r="A47" s="58" t="s">
        <v>434</v>
      </c>
      <c r="B47" s="43" t="s">
        <v>248</v>
      </c>
      <c r="C47" s="2"/>
      <c r="D47" s="319"/>
      <c r="E47" s="319"/>
      <c r="F47" s="319"/>
      <c r="G47" s="319"/>
      <c r="H47" s="319"/>
      <c r="I47" s="319"/>
      <c r="J47" s="319"/>
      <c r="K47" s="2"/>
      <c r="L47" s="2"/>
      <c r="M47" s="2"/>
      <c r="N47" s="2"/>
      <c r="O47" s="2"/>
      <c r="P47" s="462"/>
      <c r="Q47" s="462"/>
      <c r="R47" s="420"/>
    </row>
    <row r="48" spans="1:26" ht="6" customHeight="1" x14ac:dyDescent="0.3">
      <c r="A48" s="374"/>
      <c r="B48" s="319"/>
      <c r="C48" s="319"/>
      <c r="D48" s="319"/>
      <c r="E48" s="319"/>
      <c r="F48" s="319"/>
      <c r="G48" s="319"/>
      <c r="H48" s="319"/>
      <c r="I48" s="319"/>
      <c r="J48" s="319"/>
      <c r="K48" s="2"/>
      <c r="L48" s="2"/>
      <c r="M48" s="2"/>
      <c r="N48" s="2"/>
      <c r="O48" s="2"/>
      <c r="P48" s="462"/>
      <c r="Q48" s="462"/>
      <c r="R48" s="420"/>
    </row>
    <row r="49" spans="1:26" s="4" customFormat="1" ht="20.100000000000001" customHeight="1" x14ac:dyDescent="0.3">
      <c r="A49" s="374"/>
      <c r="B49" s="425" t="str">
        <f>IF(ISBLANK(J4)," ",J4)</f>
        <v xml:space="preserve"> </v>
      </c>
      <c r="C49" s="426"/>
      <c r="D49" s="377" t="s">
        <v>55</v>
      </c>
      <c r="E49" s="415" t="str">
        <f>IF(ISBLANK(B16),"",B16)</f>
        <v/>
      </c>
      <c r="F49" s="416"/>
      <c r="G49" s="367" t="s">
        <v>42</v>
      </c>
      <c r="H49" s="361" t="str">
        <f>IF(ISBLANK(J9)," ",(B49*E49))</f>
        <v xml:space="preserve"> </v>
      </c>
      <c r="I49" s="362"/>
      <c r="J49" s="377" t="s">
        <v>8</v>
      </c>
      <c r="P49" s="462"/>
      <c r="Q49" s="462"/>
      <c r="R49" s="420"/>
      <c r="S49" s="49"/>
    </row>
    <row r="50" spans="1:26" s="4" customFormat="1" ht="6" customHeight="1" x14ac:dyDescent="0.3">
      <c r="A50" s="374"/>
      <c r="B50" s="320"/>
      <c r="C50" s="320"/>
      <c r="D50" s="380"/>
      <c r="E50" s="364"/>
      <c r="F50" s="45"/>
      <c r="G50" s="45"/>
      <c r="H50" s="363"/>
      <c r="I50" s="363"/>
      <c r="J50" s="320"/>
      <c r="K50" s="320"/>
      <c r="L50" s="367"/>
      <c r="P50" s="368"/>
      <c r="Q50" s="368"/>
      <c r="R50" s="369"/>
      <c r="S50" s="49"/>
    </row>
    <row r="51" spans="1:26" ht="18" customHeight="1" x14ac:dyDescent="0.3">
      <c r="A51" s="58" t="s">
        <v>105</v>
      </c>
      <c r="B51" s="7" t="s">
        <v>696</v>
      </c>
      <c r="C51" s="2"/>
      <c r="D51" s="319"/>
      <c r="E51" s="319"/>
      <c r="F51" s="319"/>
      <c r="G51" s="319"/>
      <c r="H51" s="319"/>
      <c r="I51" s="319"/>
      <c r="J51" s="319"/>
      <c r="K51" s="2"/>
      <c r="L51" s="2"/>
      <c r="M51" s="2"/>
      <c r="N51" s="2"/>
      <c r="O51" s="2"/>
      <c r="P51" s="364"/>
      <c r="Q51" s="364"/>
      <c r="R51" s="464"/>
    </row>
    <row r="52" spans="1:26" ht="6" customHeight="1" x14ac:dyDescent="0.3">
      <c r="A52" s="63"/>
      <c r="B52" s="319"/>
      <c r="C52" s="319"/>
      <c r="D52" s="319"/>
      <c r="E52" s="319"/>
      <c r="F52" s="319"/>
      <c r="G52" s="319"/>
      <c r="H52" s="319"/>
      <c r="I52" s="319"/>
      <c r="J52" s="319"/>
      <c r="K52" s="2"/>
      <c r="L52" s="2"/>
      <c r="M52" s="2"/>
      <c r="N52" s="2"/>
      <c r="O52" s="2"/>
      <c r="P52" s="364"/>
      <c r="Q52" s="364"/>
      <c r="R52" s="464"/>
    </row>
    <row r="53" spans="1:26" ht="20.100000000000001" customHeight="1" x14ac:dyDescent="0.3">
      <c r="A53" s="63"/>
      <c r="B53" s="423" t="str">
        <f>H49</f>
        <v xml:space="preserve"> </v>
      </c>
      <c r="C53" s="424"/>
      <c r="D53" s="377" t="s">
        <v>692</v>
      </c>
      <c r="E53" s="423" t="str">
        <f>M37</f>
        <v xml:space="preserve"> </v>
      </c>
      <c r="F53" s="424"/>
      <c r="G53" s="32" t="s">
        <v>693</v>
      </c>
      <c r="H53" s="434" t="str">
        <f>IF(ISERROR(B53/E53),"",B53/E53)</f>
        <v/>
      </c>
      <c r="I53" s="435"/>
      <c r="J53" s="377" t="s">
        <v>700</v>
      </c>
      <c r="N53" s="2"/>
      <c r="O53" s="2"/>
      <c r="P53" s="463"/>
      <c r="Q53" s="463"/>
      <c r="R53" s="366"/>
      <c r="S53" s="2"/>
    </row>
    <row r="54" spans="1:26" ht="6" customHeight="1" x14ac:dyDescent="0.3">
      <c r="A54" s="63"/>
      <c r="B54" s="319"/>
      <c r="C54" s="320"/>
      <c r="D54" s="320"/>
      <c r="E54" s="363"/>
      <c r="F54" s="363"/>
      <c r="G54" s="363"/>
      <c r="H54" s="48"/>
      <c r="I54" s="48"/>
      <c r="J54" s="2"/>
      <c r="K54" s="367"/>
      <c r="L54" s="367"/>
      <c r="M54" s="2"/>
      <c r="N54" s="2"/>
      <c r="O54" s="2"/>
      <c r="P54" s="2"/>
      <c r="Q54" s="2"/>
      <c r="R54" s="52"/>
      <c r="T54" s="2"/>
      <c r="U54" s="2"/>
      <c r="V54" s="2"/>
      <c r="W54" s="2"/>
      <c r="X54" s="2"/>
      <c r="Y54" s="2"/>
      <c r="Z54" s="2"/>
    </row>
    <row r="55" spans="1:26" ht="20.100000000000001" customHeight="1" x14ac:dyDescent="0.3">
      <c r="A55" s="373" t="s">
        <v>51</v>
      </c>
      <c r="B55" s="319" t="s">
        <v>59</v>
      </c>
      <c r="C55" s="319"/>
      <c r="D55" s="319"/>
      <c r="E55" s="319"/>
      <c r="F55" s="2"/>
      <c r="J55" s="2"/>
      <c r="K55" s="456"/>
      <c r="L55" s="457"/>
      <c r="M55" s="319" t="s">
        <v>29</v>
      </c>
      <c r="N55" s="2"/>
      <c r="O55" s="2"/>
      <c r="P55" s="463"/>
      <c r="Q55" s="463"/>
      <c r="R55" s="366"/>
    </row>
    <row r="56" spans="1:26" ht="6" customHeight="1" x14ac:dyDescent="0.3">
      <c r="A56" s="374"/>
      <c r="B56" s="319"/>
      <c r="C56" s="319"/>
      <c r="D56" s="319"/>
      <c r="E56" s="319"/>
      <c r="F56" s="319"/>
      <c r="G56" s="319"/>
      <c r="H56" s="319"/>
      <c r="I56" s="2"/>
      <c r="J56" s="2"/>
      <c r="K56" s="2"/>
      <c r="L56" s="15"/>
      <c r="M56" s="2"/>
      <c r="N56" s="2"/>
      <c r="O56" s="2"/>
      <c r="P56" s="463"/>
      <c r="Q56" s="463"/>
      <c r="R56" s="366"/>
    </row>
    <row r="57" spans="1:26" ht="20.100000000000001" customHeight="1" x14ac:dyDescent="0.3">
      <c r="A57" s="373" t="s">
        <v>56</v>
      </c>
      <c r="B57" s="319" t="s">
        <v>699</v>
      </c>
      <c r="C57" s="319"/>
      <c r="D57" s="319"/>
      <c r="E57" s="319"/>
      <c r="F57" s="319"/>
      <c r="G57" s="2"/>
      <c r="H57" s="319"/>
      <c r="I57" s="2"/>
      <c r="J57" s="441" t="str">
        <f>IF(ISBLANK(K55)," ",(19.65*0.6*N13^2*K55^0.5))</f>
        <v xml:space="preserve"> </v>
      </c>
      <c r="K57" s="442"/>
      <c r="L57" s="377" t="s">
        <v>697</v>
      </c>
      <c r="O57" s="2"/>
      <c r="P57" s="2"/>
      <c r="Q57" s="364"/>
      <c r="R57" s="366"/>
    </row>
    <row r="58" spans="1:26" ht="6" customHeight="1" x14ac:dyDescent="0.3">
      <c r="A58" s="374"/>
      <c r="B58" s="319"/>
      <c r="C58" s="319"/>
      <c r="D58" s="319"/>
      <c r="E58" s="319"/>
      <c r="F58" s="319"/>
      <c r="G58" s="319"/>
      <c r="H58" s="319"/>
      <c r="I58" s="319"/>
      <c r="J58" s="319"/>
      <c r="K58" s="2"/>
      <c r="L58" s="2"/>
      <c r="M58" s="2"/>
      <c r="N58" s="2"/>
      <c r="O58" s="2"/>
      <c r="P58" s="4"/>
      <c r="Q58" s="4"/>
      <c r="R58" s="36"/>
    </row>
    <row r="59" spans="1:26" ht="18" customHeight="1" x14ac:dyDescent="0.3">
      <c r="A59" s="186" t="s">
        <v>57</v>
      </c>
      <c r="B59" s="421" t="s">
        <v>698</v>
      </c>
      <c r="C59" s="421"/>
      <c r="D59" s="421"/>
      <c r="E59" s="421"/>
      <c r="F59" s="421"/>
      <c r="G59" s="421"/>
      <c r="H59" s="421"/>
      <c r="I59" s="421"/>
      <c r="J59" s="421"/>
      <c r="K59" s="421"/>
      <c r="L59" s="421"/>
      <c r="M59" s="421"/>
      <c r="N59" s="421"/>
      <c r="O59" s="421"/>
      <c r="P59" s="421"/>
      <c r="Q59" s="421"/>
      <c r="R59" s="422"/>
    </row>
    <row r="60" spans="1:26" ht="6" customHeight="1" x14ac:dyDescent="0.3">
      <c r="A60" s="61"/>
      <c r="B60" s="370"/>
      <c r="C60" s="370"/>
      <c r="D60" s="370"/>
      <c r="E60" s="370"/>
      <c r="F60" s="370"/>
      <c r="G60" s="370"/>
      <c r="H60" s="370"/>
      <c r="I60" s="370"/>
      <c r="J60" s="370"/>
      <c r="K60" s="370"/>
      <c r="L60" s="370"/>
      <c r="M60" s="2"/>
      <c r="N60" s="2"/>
      <c r="O60" s="2"/>
      <c r="P60" s="4"/>
      <c r="Q60" s="4"/>
      <c r="R60" s="36"/>
    </row>
    <row r="61" spans="1:26" ht="20.100000000000001" customHeight="1" x14ac:dyDescent="0.3">
      <c r="A61" s="63"/>
      <c r="B61" s="423" t="str">
        <f>M37</f>
        <v xml:space="preserve"> </v>
      </c>
      <c r="C61" s="424"/>
      <c r="D61" s="377" t="s">
        <v>447</v>
      </c>
      <c r="E61" s="367"/>
      <c r="F61" s="441" t="str">
        <f>J57</f>
        <v xml:space="preserve"> </v>
      </c>
      <c r="G61" s="442"/>
      <c r="H61" s="377" t="s">
        <v>448</v>
      </c>
      <c r="I61" s="2"/>
      <c r="J61" s="2"/>
      <c r="K61" s="2"/>
      <c r="L61" s="423" t="str">
        <f>IF(ISERROR(ROUNDUP((B61*F61),0))," ",ROUNDUP((B61*F61),0))</f>
        <v xml:space="preserve"> </v>
      </c>
      <c r="M61" s="424"/>
      <c r="N61" s="367" t="s">
        <v>61</v>
      </c>
      <c r="O61" s="2"/>
      <c r="P61" s="4"/>
      <c r="Q61" s="4"/>
      <c r="R61" s="36"/>
      <c r="T61" s="2"/>
      <c r="U61" s="2"/>
      <c r="V61" s="2"/>
      <c r="W61" s="2"/>
      <c r="X61" s="2"/>
      <c r="Y61" s="2"/>
    </row>
    <row r="62" spans="1:26" ht="6" customHeight="1" x14ac:dyDescent="0.3">
      <c r="A62" s="61"/>
      <c r="B62" s="2"/>
      <c r="C62" s="2"/>
      <c r="D62" s="2"/>
      <c r="E62" s="2"/>
      <c r="F62" s="2"/>
      <c r="G62" s="2"/>
      <c r="H62" s="2"/>
      <c r="I62" s="2"/>
      <c r="J62" s="2"/>
      <c r="K62" s="2"/>
      <c r="L62" s="4"/>
      <c r="M62" s="48"/>
      <c r="N62" s="2"/>
      <c r="O62" s="2"/>
      <c r="P62" s="2"/>
      <c r="Q62" s="2"/>
      <c r="R62" s="52"/>
    </row>
    <row r="63" spans="1:26" ht="20.100000000000001" customHeight="1" x14ac:dyDescent="0.3">
      <c r="A63" s="373" t="s">
        <v>58</v>
      </c>
      <c r="B63" s="7" t="s">
        <v>446</v>
      </c>
      <c r="C63" s="2"/>
      <c r="D63" s="319"/>
      <c r="E63" s="319"/>
      <c r="F63" s="319"/>
      <c r="G63" s="2"/>
      <c r="H63" s="2"/>
      <c r="I63" s="2"/>
      <c r="J63" s="2"/>
      <c r="K63" s="2"/>
      <c r="L63" s="478" t="str">
        <f>IF(ISBLANK(K43)," ",IF(K43=1,"0.045",IF(K43=1.25,"0.078",IF(K43=1.5,"0.110",IF(K43=2,"0.170",IF(K43=3,"0.380"))))))</f>
        <v xml:space="preserve"> </v>
      </c>
      <c r="M63" s="479"/>
      <c r="N63" s="319" t="s">
        <v>264</v>
      </c>
      <c r="O63" s="2"/>
      <c r="P63" s="2"/>
      <c r="Q63" s="2"/>
      <c r="R63" s="52"/>
    </row>
    <row r="64" spans="1:26" ht="6" customHeight="1" x14ac:dyDescent="0.3">
      <c r="A64" s="61"/>
      <c r="B64" s="2"/>
      <c r="C64" s="2"/>
      <c r="D64" s="2"/>
      <c r="E64" s="2"/>
      <c r="F64" s="2"/>
      <c r="G64" s="2"/>
      <c r="H64" s="2"/>
      <c r="I64" s="2"/>
      <c r="J64" s="2"/>
      <c r="K64" s="2"/>
      <c r="L64" s="2"/>
      <c r="M64" s="48"/>
      <c r="N64" s="2"/>
      <c r="O64" s="2"/>
      <c r="P64" s="2"/>
      <c r="Q64" s="2"/>
      <c r="R64" s="52"/>
    </row>
    <row r="65" spans="1:19" ht="18" customHeight="1" x14ac:dyDescent="0.3">
      <c r="A65" s="79" t="s">
        <v>60</v>
      </c>
      <c r="B65" s="24" t="s">
        <v>36</v>
      </c>
      <c r="C65" s="2"/>
      <c r="D65" s="370"/>
      <c r="E65" s="370"/>
      <c r="F65" s="2"/>
      <c r="G65" s="2"/>
      <c r="H65" s="2"/>
      <c r="I65" s="2"/>
      <c r="J65" s="2"/>
      <c r="K65" s="2"/>
      <c r="L65" s="2"/>
      <c r="M65" s="2"/>
      <c r="N65" s="2"/>
      <c r="O65" s="2"/>
      <c r="P65" s="2"/>
      <c r="Q65" s="2"/>
      <c r="R65" s="52"/>
    </row>
    <row r="66" spans="1:19" ht="18" customHeight="1" x14ac:dyDescent="0.3">
      <c r="A66" s="61"/>
      <c r="B66" s="476" t="s">
        <v>527</v>
      </c>
      <c r="C66" s="476"/>
      <c r="D66" s="476"/>
      <c r="E66" s="476"/>
      <c r="F66" s="476"/>
      <c r="G66" s="476"/>
      <c r="H66" s="476"/>
      <c r="I66" s="476"/>
      <c r="J66" s="476"/>
      <c r="K66" s="476"/>
      <c r="L66" s="476"/>
      <c r="M66" s="48"/>
      <c r="N66" s="2"/>
      <c r="O66" s="2"/>
      <c r="P66" s="2"/>
      <c r="Q66" s="2"/>
      <c r="R66" s="52"/>
    </row>
    <row r="67" spans="1:19" ht="18" customHeight="1" x14ac:dyDescent="0.3">
      <c r="A67" s="61"/>
      <c r="B67" s="476"/>
      <c r="C67" s="476"/>
      <c r="D67" s="476"/>
      <c r="E67" s="476"/>
      <c r="F67" s="476"/>
      <c r="G67" s="476"/>
      <c r="H67" s="476"/>
      <c r="I67" s="476"/>
      <c r="J67" s="476"/>
      <c r="K67" s="476"/>
      <c r="L67" s="476"/>
      <c r="M67" s="2"/>
      <c r="N67" s="2"/>
      <c r="O67" s="2"/>
      <c r="P67" s="2"/>
      <c r="Q67" s="2"/>
      <c r="R67" s="52"/>
      <c r="S67" s="13"/>
    </row>
    <row r="68" spans="1:19" ht="6" customHeight="1" x14ac:dyDescent="0.3">
      <c r="A68" s="61"/>
      <c r="B68" s="2"/>
      <c r="C68" s="2"/>
      <c r="D68" s="2"/>
      <c r="E68" s="2"/>
      <c r="F68" s="2"/>
      <c r="G68" s="2"/>
      <c r="H68" s="2"/>
      <c r="I68" s="2"/>
      <c r="J68" s="2"/>
      <c r="K68" s="2"/>
      <c r="L68" s="2"/>
      <c r="M68" s="2"/>
      <c r="N68" s="2"/>
      <c r="O68" s="2"/>
      <c r="P68" s="2"/>
      <c r="Q68" s="2"/>
      <c r="R68" s="52"/>
      <c r="S68" s="13"/>
    </row>
    <row r="69" spans="1:19" ht="20.100000000000001" customHeight="1" x14ac:dyDescent="0.3">
      <c r="A69" s="61"/>
      <c r="B69" s="415" t="str">
        <f>IF(ISBLANK(J9)," ",J9)</f>
        <v xml:space="preserve"> </v>
      </c>
      <c r="C69" s="416"/>
      <c r="D69" s="367" t="s">
        <v>37</v>
      </c>
      <c r="E69" s="415" t="str">
        <f>G16</f>
        <v xml:space="preserve"> </v>
      </c>
      <c r="F69" s="416"/>
      <c r="G69" s="367" t="s">
        <v>55</v>
      </c>
      <c r="H69" s="478" t="str">
        <f>IF(ISBLANK(L63)," ",L63)</f>
        <v xml:space="preserve"> </v>
      </c>
      <c r="I69" s="479"/>
      <c r="J69" s="377" t="s">
        <v>528</v>
      </c>
      <c r="K69" s="2"/>
      <c r="L69" s="434" t="str">
        <f>IF(ISBLANK(J9)," ",((B69*E69*H69)))</f>
        <v xml:space="preserve"> </v>
      </c>
      <c r="M69" s="477"/>
      <c r="N69" s="319" t="s">
        <v>33</v>
      </c>
      <c r="O69" s="2"/>
      <c r="P69" s="2"/>
      <c r="Q69" s="2"/>
      <c r="R69" s="52"/>
      <c r="S69" s="13"/>
    </row>
    <row r="70" spans="1:19" ht="6" customHeight="1" x14ac:dyDescent="0.3">
      <c r="A70" s="61"/>
      <c r="B70" s="2"/>
      <c r="C70" s="2"/>
      <c r="D70" s="2"/>
      <c r="E70" s="2"/>
      <c r="F70" s="2"/>
      <c r="G70" s="2"/>
      <c r="H70" s="2"/>
      <c r="I70" s="2"/>
      <c r="J70" s="2"/>
      <c r="K70" s="2"/>
      <c r="L70" s="2"/>
      <c r="M70" s="2"/>
      <c r="N70" s="2"/>
      <c r="O70" s="2"/>
      <c r="P70" s="2"/>
      <c r="Q70" s="2"/>
      <c r="R70" s="52"/>
      <c r="S70" s="13"/>
    </row>
    <row r="71" spans="1:19" ht="18" customHeight="1" x14ac:dyDescent="0.3">
      <c r="A71" s="79" t="s">
        <v>686</v>
      </c>
      <c r="B71" s="37" t="s">
        <v>529</v>
      </c>
      <c r="C71" s="2"/>
      <c r="D71" s="2"/>
      <c r="E71" s="2"/>
      <c r="F71" s="2"/>
      <c r="G71" s="2"/>
      <c r="H71" s="2"/>
      <c r="I71" s="2"/>
      <c r="J71" s="2"/>
      <c r="K71" s="2"/>
      <c r="L71" s="2"/>
      <c r="M71" s="2"/>
      <c r="N71" s="2"/>
      <c r="O71" s="2"/>
      <c r="P71" s="2"/>
      <c r="Q71" s="2"/>
      <c r="R71" s="52"/>
      <c r="S71" s="13"/>
    </row>
    <row r="72" spans="1:19" ht="6" customHeight="1" x14ac:dyDescent="0.3">
      <c r="A72" s="61"/>
      <c r="B72" s="2"/>
      <c r="C72" s="2"/>
      <c r="D72" s="2"/>
      <c r="E72" s="2"/>
      <c r="F72" s="2"/>
      <c r="G72" s="2"/>
      <c r="H72" s="2"/>
      <c r="I72" s="2"/>
      <c r="J72" s="2"/>
      <c r="K72" s="2"/>
      <c r="L72" s="2"/>
      <c r="M72" s="2"/>
      <c r="N72" s="2"/>
      <c r="O72" s="2"/>
      <c r="P72" s="2"/>
      <c r="Q72" s="2"/>
      <c r="R72" s="52"/>
      <c r="S72" s="13"/>
    </row>
    <row r="73" spans="1:19" ht="20.100000000000001" customHeight="1" x14ac:dyDescent="0.3">
      <c r="A73" s="61"/>
      <c r="B73" s="434" t="str">
        <f>L69</f>
        <v xml:space="preserve"> </v>
      </c>
      <c r="C73" s="435"/>
      <c r="D73" s="474" t="s">
        <v>362</v>
      </c>
      <c r="E73" s="475"/>
      <c r="F73" s="475"/>
      <c r="G73" s="434" t="str">
        <f>IF(ISBLANK(K43),"",B73*4)</f>
        <v/>
      </c>
      <c r="H73" s="477"/>
      <c r="I73" s="319" t="s">
        <v>33</v>
      </c>
      <c r="J73" s="2"/>
      <c r="K73" s="2"/>
      <c r="L73" s="2"/>
      <c r="M73" s="2"/>
      <c r="N73" s="2"/>
      <c r="O73" s="2"/>
      <c r="P73" s="2"/>
      <c r="Q73" s="2"/>
      <c r="R73" s="52"/>
      <c r="S73" s="13"/>
    </row>
    <row r="74" spans="1:19" ht="6" customHeight="1" x14ac:dyDescent="0.3">
      <c r="A74" s="61"/>
      <c r="B74" s="2"/>
      <c r="C74" s="2"/>
      <c r="D74" s="2"/>
      <c r="E74" s="2"/>
      <c r="F74" s="2"/>
      <c r="G74" s="2"/>
      <c r="H74" s="2"/>
      <c r="I74" s="2"/>
      <c r="J74" s="2"/>
      <c r="K74" s="2"/>
      <c r="L74" s="2"/>
      <c r="M74" s="2"/>
      <c r="N74" s="2"/>
      <c r="O74" s="2"/>
      <c r="P74" s="2"/>
      <c r="Q74" s="2"/>
      <c r="R74" s="52"/>
      <c r="S74" s="13"/>
    </row>
    <row r="75" spans="1:19" ht="31.5" customHeight="1" x14ac:dyDescent="0.3">
      <c r="A75" s="61"/>
      <c r="B75" s="45"/>
      <c r="C75" s="45"/>
      <c r="D75" s="320"/>
      <c r="E75" s="45"/>
      <c r="F75" s="45"/>
      <c r="G75" s="320"/>
      <c r="H75" s="64"/>
      <c r="I75" s="64"/>
      <c r="J75" s="320"/>
      <c r="K75" s="48"/>
      <c r="L75" s="48"/>
      <c r="M75" s="319"/>
      <c r="N75" s="2"/>
      <c r="O75" s="2"/>
      <c r="P75" s="2"/>
      <c r="Q75" s="2"/>
      <c r="R75" s="52"/>
    </row>
    <row r="76" spans="1:19" ht="6" customHeight="1" x14ac:dyDescent="0.3">
      <c r="A76" s="61"/>
      <c r="B76" s="45"/>
      <c r="C76" s="45"/>
      <c r="D76" s="320"/>
      <c r="E76" s="45"/>
      <c r="F76" s="45"/>
      <c r="G76" s="320"/>
      <c r="H76" s="64"/>
      <c r="I76" s="64"/>
      <c r="J76" s="320"/>
      <c r="K76" s="48"/>
      <c r="L76" s="48"/>
      <c r="M76" s="319"/>
      <c r="N76" s="2"/>
      <c r="O76" s="2"/>
      <c r="P76" s="2"/>
      <c r="Q76" s="2"/>
      <c r="R76" s="52"/>
    </row>
    <row r="77" spans="1:19" ht="6" customHeight="1" x14ac:dyDescent="0.3">
      <c r="A77" s="55"/>
      <c r="B77" s="51"/>
      <c r="C77" s="51"/>
      <c r="D77" s="51"/>
      <c r="E77" s="51"/>
      <c r="F77" s="51"/>
      <c r="G77" s="51"/>
      <c r="H77" s="51"/>
      <c r="I77" s="51"/>
      <c r="J77" s="51"/>
      <c r="K77" s="51"/>
      <c r="L77" s="51"/>
      <c r="M77" s="51"/>
      <c r="N77" s="51"/>
      <c r="O77" s="51"/>
      <c r="P77" s="51"/>
      <c r="Q77" s="51"/>
      <c r="R77" s="53"/>
    </row>
    <row r="78" spans="1:19" ht="18" customHeight="1" x14ac:dyDescent="0.3">
      <c r="A78" s="155" t="s">
        <v>159</v>
      </c>
      <c r="B78" s="156"/>
      <c r="C78" s="156"/>
      <c r="D78" s="156"/>
      <c r="E78" s="156"/>
      <c r="F78" s="156"/>
      <c r="G78" s="156"/>
      <c r="H78" s="156"/>
      <c r="I78" s="156"/>
      <c r="J78" s="156"/>
      <c r="K78" s="156"/>
      <c r="L78" s="156"/>
      <c r="M78" s="156"/>
      <c r="N78" s="156"/>
      <c r="O78" s="156"/>
      <c r="P78" s="156"/>
      <c r="Q78" s="156"/>
      <c r="R78" s="157"/>
    </row>
    <row r="79" spans="1:19" x14ac:dyDescent="0.3">
      <c r="A79" s="465"/>
      <c r="B79" s="466"/>
      <c r="C79" s="466"/>
      <c r="D79" s="466"/>
      <c r="E79" s="466"/>
      <c r="F79" s="466"/>
      <c r="G79" s="466"/>
      <c r="H79" s="466"/>
      <c r="I79" s="466"/>
      <c r="J79" s="466"/>
      <c r="K79" s="466"/>
      <c r="L79" s="466"/>
      <c r="M79" s="466"/>
      <c r="N79" s="466"/>
      <c r="O79" s="466"/>
      <c r="P79" s="466"/>
      <c r="Q79" s="466"/>
      <c r="R79" s="467"/>
    </row>
    <row r="80" spans="1:19" x14ac:dyDescent="0.3">
      <c r="A80" s="468"/>
      <c r="B80" s="469"/>
      <c r="C80" s="469"/>
      <c r="D80" s="469"/>
      <c r="E80" s="469"/>
      <c r="F80" s="469"/>
      <c r="G80" s="469"/>
      <c r="H80" s="469"/>
      <c r="I80" s="469"/>
      <c r="J80" s="469"/>
      <c r="K80" s="469"/>
      <c r="L80" s="469"/>
      <c r="M80" s="469"/>
      <c r="N80" s="469"/>
      <c r="O80" s="469"/>
      <c r="P80" s="469"/>
      <c r="Q80" s="469"/>
      <c r="R80" s="470"/>
    </row>
    <row r="81" spans="1:18" x14ac:dyDescent="0.3">
      <c r="A81" s="468"/>
      <c r="B81" s="469"/>
      <c r="C81" s="469"/>
      <c r="D81" s="469"/>
      <c r="E81" s="469"/>
      <c r="F81" s="469"/>
      <c r="G81" s="469"/>
      <c r="H81" s="469"/>
      <c r="I81" s="469"/>
      <c r="J81" s="469"/>
      <c r="K81" s="469"/>
      <c r="L81" s="469"/>
      <c r="M81" s="469"/>
      <c r="N81" s="469"/>
      <c r="O81" s="469"/>
      <c r="P81" s="469"/>
      <c r="Q81" s="469"/>
      <c r="R81" s="470"/>
    </row>
    <row r="82" spans="1:18" x14ac:dyDescent="0.3">
      <c r="A82" s="468"/>
      <c r="B82" s="469"/>
      <c r="C82" s="469"/>
      <c r="D82" s="469"/>
      <c r="E82" s="469"/>
      <c r="F82" s="469"/>
      <c r="G82" s="469"/>
      <c r="H82" s="469"/>
      <c r="I82" s="469"/>
      <c r="J82" s="469"/>
      <c r="K82" s="469"/>
      <c r="L82" s="469"/>
      <c r="M82" s="469"/>
      <c r="N82" s="469"/>
      <c r="O82" s="469"/>
      <c r="P82" s="469"/>
      <c r="Q82" s="469"/>
      <c r="R82" s="470"/>
    </row>
    <row r="83" spans="1:18" x14ac:dyDescent="0.3">
      <c r="A83" s="471"/>
      <c r="B83" s="472"/>
      <c r="C83" s="472"/>
      <c r="D83" s="472"/>
      <c r="E83" s="472"/>
      <c r="F83" s="472"/>
      <c r="G83" s="472"/>
      <c r="H83" s="472"/>
      <c r="I83" s="472"/>
      <c r="J83" s="472"/>
      <c r="K83" s="472"/>
      <c r="L83" s="472"/>
      <c r="M83" s="472"/>
      <c r="N83" s="472"/>
      <c r="O83" s="472"/>
      <c r="P83" s="472"/>
      <c r="Q83" s="472"/>
      <c r="R83" s="473"/>
    </row>
    <row r="84" spans="1:18" x14ac:dyDescent="0.3">
      <c r="A84" s="126"/>
      <c r="B84" s="126"/>
      <c r="C84" s="126"/>
      <c r="D84" s="126"/>
      <c r="E84" s="126"/>
      <c r="F84" s="126"/>
      <c r="G84" s="126"/>
      <c r="H84" s="126"/>
      <c r="I84" s="126"/>
      <c r="J84" s="126"/>
      <c r="K84" s="126"/>
      <c r="L84" s="126"/>
      <c r="M84" s="126"/>
      <c r="N84" s="126"/>
      <c r="O84" s="126"/>
      <c r="P84" s="126"/>
      <c r="Q84" s="126"/>
      <c r="R84" s="126"/>
    </row>
    <row r="85" spans="1:18" x14ac:dyDescent="0.3">
      <c r="A85" s="126"/>
      <c r="B85" s="126"/>
      <c r="C85" s="126"/>
      <c r="D85" s="126"/>
      <c r="E85" s="126"/>
      <c r="F85" s="126"/>
      <c r="G85" s="126"/>
      <c r="H85" s="126"/>
      <c r="I85" s="126"/>
      <c r="J85" s="126"/>
      <c r="K85" s="126"/>
      <c r="L85" s="126"/>
      <c r="M85" s="126"/>
      <c r="N85" s="126"/>
      <c r="O85" s="126"/>
      <c r="P85" s="126"/>
      <c r="Q85" s="126"/>
      <c r="R85" s="126"/>
    </row>
    <row r="86" spans="1:18" x14ac:dyDescent="0.3">
      <c r="A86" s="126"/>
      <c r="B86" s="126"/>
      <c r="C86" s="126"/>
      <c r="D86" s="126"/>
      <c r="E86" s="126"/>
      <c r="F86" s="126"/>
      <c r="G86" s="126"/>
      <c r="H86" s="126"/>
      <c r="I86" s="126"/>
      <c r="J86" s="126"/>
      <c r="K86" s="126"/>
      <c r="L86" s="126"/>
      <c r="M86" s="126"/>
      <c r="N86" s="126"/>
      <c r="O86" s="126"/>
      <c r="P86" s="126"/>
      <c r="Q86" s="126"/>
      <c r="R86" s="126"/>
    </row>
  </sheetData>
  <sheetProtection sheet="1" objects="1" scenarios="1"/>
  <customSheetViews>
    <customSheetView guid="{3320ADAB-1745-4CE0-B739-BF2E8269138B}" showGridLines="0" fitToPage="1" showRuler="0" topLeftCell="A4">
      <selection activeCell="J73" sqref="J73:K73"/>
      <pageMargins left="0.4" right="0.4" top="0.4" bottom="0.4" header="0.5" footer="0.5"/>
      <printOptions horizontalCentered="1"/>
      <pageSetup scale="59" orientation="portrait" r:id="rId1"/>
      <headerFooter alignWithMargins="0"/>
    </customSheetView>
    <customSheetView guid="{D1431318-1DB8-4C45-813B-5A8065DFC797}" showPageBreaks="1" showGridLines="0" zeroValues="0" printArea="1" view="pageBreakPreview">
      <selection activeCell="J4" sqref="J4:K4"/>
      <rowBreaks count="1" manualBreakCount="1">
        <brk id="44" max="16383" man="1"/>
      </rowBreaks>
      <pageMargins left="0.4" right="0.4" top="0.4" bottom="0.4" header="0.5" footer="0.5"/>
      <printOptions horizontalCentered="1"/>
      <pageSetup fitToHeight="2" orientation="portrait" blackAndWhite="1" r:id="rId2"/>
      <headerFooter alignWithMargins="0"/>
    </customSheetView>
  </customSheetViews>
  <mergeCells count="58">
    <mergeCell ref="L63:M63"/>
    <mergeCell ref="B53:C53"/>
    <mergeCell ref="B61:C61"/>
    <mergeCell ref="F61:G61"/>
    <mergeCell ref="L61:M61"/>
    <mergeCell ref="A79:R83"/>
    <mergeCell ref="D73:F73"/>
    <mergeCell ref="B66:L67"/>
    <mergeCell ref="B73:C73"/>
    <mergeCell ref="B69:C69"/>
    <mergeCell ref="G73:H73"/>
    <mergeCell ref="E69:F69"/>
    <mergeCell ref="H69:I69"/>
    <mergeCell ref="L69:M69"/>
    <mergeCell ref="G37:H37"/>
    <mergeCell ref="P47:Q49"/>
    <mergeCell ref="B59:R59"/>
    <mergeCell ref="P53:Q53"/>
    <mergeCell ref="P55:Q55"/>
    <mergeCell ref="J57:K57"/>
    <mergeCell ref="P56:Q56"/>
    <mergeCell ref="K55:L55"/>
    <mergeCell ref="H53:I53"/>
    <mergeCell ref="E53:F53"/>
    <mergeCell ref="R51:R52"/>
    <mergeCell ref="K43:L43"/>
    <mergeCell ref="E1:M1"/>
    <mergeCell ref="E7:F7"/>
    <mergeCell ref="O39:P39"/>
    <mergeCell ref="N7:R7"/>
    <mergeCell ref="B25:G25"/>
    <mergeCell ref="J11:K11"/>
    <mergeCell ref="I2:J2"/>
    <mergeCell ref="K2:L2"/>
    <mergeCell ref="J9:K9"/>
    <mergeCell ref="J10:K10"/>
    <mergeCell ref="J13:K13"/>
    <mergeCell ref="J4:K4"/>
    <mergeCell ref="B16:C16"/>
    <mergeCell ref="G16:H16"/>
    <mergeCell ref="B37:C37"/>
    <mergeCell ref="B34:R35"/>
    <mergeCell ref="J7:K7"/>
    <mergeCell ref="G7:I7"/>
    <mergeCell ref="R47:R49"/>
    <mergeCell ref="B18:R19"/>
    <mergeCell ref="H25:I25"/>
    <mergeCell ref="M25:N25"/>
    <mergeCell ref="B49:C49"/>
    <mergeCell ref="M37:N37"/>
    <mergeCell ref="O21:P21"/>
    <mergeCell ref="K21:L21"/>
    <mergeCell ref="B26:R26"/>
    <mergeCell ref="E49:F49"/>
    <mergeCell ref="K41:L41"/>
    <mergeCell ref="G21:H21"/>
    <mergeCell ref="B23:R23"/>
    <mergeCell ref="B39:M39"/>
  </mergeCells>
  <phoneticPr fontId="21" type="noConversion"/>
  <dataValidations xWindow="432" yWindow="433" count="5">
    <dataValidation type="list" allowBlank="1" showInputMessage="1" showErrorMessage="1" sqref="K43:L43" xr:uid="{00000000-0002-0000-0100-000000000000}">
      <formula1>PipeDia</formula1>
    </dataValidation>
    <dataValidation type="list" allowBlank="1" showInputMessage="1" showErrorMessage="1" prompt="2.5 for dwellings using 1/4&quot;, 7/32&quot;,or 3/16&quot; holes_x000a__x000a_3.5 for dwellings using 5/32&quot; holes _x000a__x000a_5.0 for dwellings using 1/8&quot; holes" sqref="K55:L55" xr:uid="{00000000-0002-0000-0100-000001000000}">
      <formula1>MinHead</formula1>
    </dataValidation>
    <dataValidation operator="greaterThanOrEqual" allowBlank="1" showInputMessage="1" showErrorMessage="1" error="Value is less than allowed by rule" prompt="Laterals must be within 24 inches of the edge of the bed and spaced no further apart than 42 inches." sqref="J9:K9" xr:uid="{00000000-0002-0000-0100-000002000000}"/>
    <dataValidation type="list" allowBlank="1" showInputMessage="1" showErrorMessage="1" prompt="Min 1/8&quot;_x000a_Max 1/4&quot;" sqref="J13:K13" xr:uid="{00000000-0002-0000-0100-000003000000}">
      <formula1>PerfDia</formula1>
    </dataValidation>
    <dataValidation type="list" errorStyle="information" allowBlank="1" showInputMessage="1" showErrorMessage="1" errorTitle="Check Value" error="Spacing must be between 2ft and 5ft." prompt="Min 2.0 ft_x000a_Max 5.0 ft" sqref="J11:K11" xr:uid="{00000000-0002-0000-0100-000004000000}">
      <formula1>PerfSpace</formula1>
    </dataValidation>
  </dataValidations>
  <printOptions horizontalCentered="1"/>
  <pageMargins left="0.4" right="0.4" top="0.4" bottom="0.4" header="0.5" footer="0.5"/>
  <pageSetup scale="79" fitToHeight="2" orientation="portrait" blackAndWhite="1" r:id="rId3"/>
  <headerFooter alignWithMargins="0"/>
  <rowBreaks count="1" manualBreakCount="1">
    <brk id="43" min="1" max="17" man="1"/>
  </rowBreaks>
  <drawing r:id="rId4"/>
  <extLst>
    <ext xmlns:x14="http://schemas.microsoft.com/office/spreadsheetml/2009/9/main" uri="{CCE6A557-97BC-4b89-ADB6-D9C93CAAB3DF}">
      <x14:dataValidations xmlns:xm="http://schemas.microsoft.com/office/excel/2006/main" xWindow="432" yWindow="433" count="1">
        <x14:dataValidation type="list" allowBlank="1" xr:uid="{00000000-0002-0000-0100-000005000000}">
          <x14:formula1>
            <xm:f>'Drop-Down Lists'!$F$52:$F$53</xm:f>
          </x14:formula1>
          <xm:sqref>K41:L41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55"/>
  </sheetPr>
  <dimension ref="A1:AU128"/>
  <sheetViews>
    <sheetView showGridLines="0" tabSelected="1" view="pageBreakPreview" zoomScaleNormal="100" zoomScaleSheetLayoutView="100" workbookViewId="0">
      <selection activeCell="AH10" sqref="AH10"/>
    </sheetView>
  </sheetViews>
  <sheetFormatPr defaultColWidth="6.42578125" defaultRowHeight="24.75" customHeight="1" x14ac:dyDescent="0.2"/>
  <cols>
    <col min="1" max="1" width="3.42578125" style="68" customWidth="1"/>
    <col min="2" max="18" width="6.42578125" style="19" customWidth="1"/>
    <col min="19" max="19" width="6.42578125" style="20" customWidth="1"/>
    <col min="20" max="20" width="6.42578125" style="19" customWidth="1"/>
    <col min="21" max="43" width="6.42578125" style="19"/>
    <col min="44" max="44" width="6.85546875" style="19" bestFit="1" customWidth="1"/>
    <col min="45" max="45" width="7" style="19" bestFit="1" customWidth="1"/>
    <col min="46" max="46" width="6.85546875" style="19" bestFit="1" customWidth="1"/>
    <col min="47" max="16384" width="6.42578125" style="19"/>
  </cols>
  <sheetData>
    <row r="1" spans="1:22" s="10" customFormat="1" ht="54.95" customHeight="1" x14ac:dyDescent="0.2">
      <c r="A1" s="21"/>
      <c r="B1" s="123"/>
      <c r="C1" s="123"/>
      <c r="D1" s="123"/>
      <c r="E1" s="440" t="s">
        <v>637</v>
      </c>
      <c r="F1" s="440"/>
      <c r="G1" s="440"/>
      <c r="H1" s="440"/>
      <c r="I1" s="440"/>
      <c r="J1" s="440"/>
      <c r="K1" s="440"/>
      <c r="L1" s="440"/>
      <c r="M1" s="440"/>
      <c r="N1" s="440"/>
      <c r="O1" s="123"/>
      <c r="P1" s="125"/>
      <c r="Q1" s="125"/>
      <c r="R1" s="125"/>
      <c r="S1" s="125"/>
    </row>
    <row r="2" spans="1:22" ht="16.350000000000001" customHeight="1" x14ac:dyDescent="0.3">
      <c r="A2" s="151" t="s">
        <v>373</v>
      </c>
      <c r="B2" s="153" t="s">
        <v>374</v>
      </c>
      <c r="C2" s="152"/>
      <c r="D2" s="152"/>
      <c r="E2" s="152"/>
      <c r="F2" s="152"/>
      <c r="G2" s="152"/>
      <c r="H2" s="152"/>
      <c r="I2" s="484" t="s">
        <v>431</v>
      </c>
      <c r="J2" s="484"/>
      <c r="K2" s="488" t="e">
        <f>IF(ISBLANK(#REF!)," ",#REF!)</f>
        <v>#REF!</v>
      </c>
      <c r="L2" s="488"/>
      <c r="M2" s="152"/>
      <c r="N2" s="152"/>
      <c r="O2" s="152"/>
      <c r="P2" s="152"/>
      <c r="Q2" s="152"/>
      <c r="R2" s="152"/>
      <c r="S2" s="257" t="str">
        <f>'Drop-Down Lists'!$J40</f>
        <v>v 9.9.2021</v>
      </c>
      <c r="T2" s="65"/>
      <c r="U2" s="65"/>
      <c r="V2" s="65"/>
    </row>
    <row r="3" spans="1:22" s="39" customFormat="1" ht="6" customHeight="1" x14ac:dyDescent="0.2">
      <c r="A3" s="105"/>
      <c r="B3" s="65"/>
      <c r="C3" s="65"/>
      <c r="D3" s="65"/>
      <c r="E3" s="65"/>
      <c r="F3" s="65"/>
      <c r="G3" s="65"/>
      <c r="H3" s="65"/>
      <c r="I3" s="112"/>
      <c r="J3" s="112"/>
      <c r="K3" s="112"/>
      <c r="L3" s="112"/>
      <c r="M3" s="65"/>
      <c r="N3" s="65"/>
      <c r="O3" s="65"/>
      <c r="P3" s="65"/>
      <c r="Q3" s="65"/>
      <c r="R3" s="65"/>
      <c r="S3" s="106"/>
      <c r="T3" s="65"/>
      <c r="U3" s="65"/>
      <c r="V3" s="65"/>
    </row>
    <row r="4" spans="1:22" s="39" customFormat="1" ht="18" customHeight="1" x14ac:dyDescent="0.2">
      <c r="A4" s="105"/>
      <c r="B4" s="485" t="s">
        <v>0</v>
      </c>
      <c r="C4" s="485"/>
      <c r="D4" s="485"/>
      <c r="E4" s="485"/>
      <c r="F4" s="485"/>
      <c r="G4" s="486"/>
      <c r="H4" s="486"/>
      <c r="I4" s="495"/>
      <c r="J4" s="496"/>
      <c r="K4" s="496"/>
      <c r="L4" s="497"/>
      <c r="M4" s="288"/>
      <c r="N4" s="289"/>
      <c r="O4" s="290"/>
      <c r="P4" s="290"/>
      <c r="Q4" s="290"/>
      <c r="R4" s="277"/>
      <c r="S4" s="291">
        <v>0</v>
      </c>
      <c r="T4" s="65"/>
      <c r="U4" s="292"/>
      <c r="V4" s="65"/>
    </row>
    <row r="5" spans="1:22" s="39" customFormat="1" ht="6" customHeight="1" x14ac:dyDescent="0.2">
      <c r="A5" s="105"/>
      <c r="B5" s="65"/>
      <c r="C5" s="65"/>
      <c r="D5" s="65"/>
      <c r="E5" s="65"/>
      <c r="F5" s="65"/>
      <c r="G5" s="65"/>
      <c r="H5" s="65"/>
      <c r="I5" s="65"/>
      <c r="J5" s="65"/>
      <c r="K5" s="65"/>
      <c r="L5" s="65"/>
      <c r="M5" s="65"/>
      <c r="N5" s="65"/>
      <c r="O5" s="65"/>
      <c r="P5" s="65"/>
      <c r="Q5" s="65"/>
      <c r="R5" s="140"/>
      <c r="S5" s="265"/>
      <c r="T5" s="65"/>
      <c r="U5" s="65"/>
      <c r="V5" s="65"/>
    </row>
    <row r="6" spans="1:22" ht="20.100000000000001" customHeight="1" x14ac:dyDescent="0.2">
      <c r="A6" s="107" t="s">
        <v>68</v>
      </c>
      <c r="B6" s="10" t="s">
        <v>382</v>
      </c>
      <c r="C6" s="10"/>
      <c r="D6" s="10"/>
      <c r="E6" s="10"/>
      <c r="F6" s="10"/>
      <c r="G6" s="10"/>
      <c r="H6" s="10"/>
      <c r="I6" s="10"/>
      <c r="J6" s="10"/>
      <c r="K6" s="456"/>
      <c r="L6" s="487"/>
      <c r="M6" s="10" t="s">
        <v>61</v>
      </c>
      <c r="N6" s="162" t="s">
        <v>381</v>
      </c>
      <c r="O6" s="10"/>
      <c r="P6" s="10"/>
      <c r="Q6" s="10"/>
      <c r="R6" s="10"/>
      <c r="S6" s="57"/>
    </row>
    <row r="7" spans="1:22" ht="6" customHeight="1" x14ac:dyDescent="0.2">
      <c r="A7" s="71"/>
      <c r="B7" s="10"/>
      <c r="C7" s="10"/>
      <c r="D7" s="10"/>
      <c r="E7" s="10"/>
      <c r="F7" s="10"/>
      <c r="G7" s="10"/>
      <c r="H7" s="10"/>
      <c r="I7" s="10"/>
      <c r="J7" s="10"/>
      <c r="K7" s="195"/>
      <c r="L7" s="195"/>
      <c r="M7" s="10"/>
      <c r="N7" s="10"/>
      <c r="O7" s="10"/>
      <c r="P7" s="10"/>
      <c r="Q7" s="10"/>
      <c r="R7" s="78"/>
      <c r="S7" s="266"/>
    </row>
    <row r="8" spans="1:22" ht="20.100000000000001" customHeight="1" x14ac:dyDescent="0.2">
      <c r="A8" s="107" t="s">
        <v>257</v>
      </c>
      <c r="B8" s="480" t="s">
        <v>687</v>
      </c>
      <c r="C8" s="480"/>
      <c r="D8" s="480"/>
      <c r="E8" s="480"/>
      <c r="F8" s="480"/>
      <c r="G8" s="480"/>
      <c r="H8" s="480"/>
      <c r="I8" s="10"/>
      <c r="J8" s="10"/>
      <c r="K8" s="434" t="str">
        <f>IF(I4="Pressure", MAX('Pres. Dist.'!L61:M61), " ")</f>
        <v xml:space="preserve"> </v>
      </c>
      <c r="L8" s="477"/>
      <c r="M8" s="10" t="s">
        <v>61</v>
      </c>
      <c r="N8" s="10"/>
      <c r="O8" s="10"/>
      <c r="P8" s="10"/>
      <c r="Q8" s="10"/>
      <c r="R8" s="10"/>
      <c r="S8" s="57"/>
    </row>
    <row r="9" spans="1:22" ht="6" customHeight="1" x14ac:dyDescent="0.2">
      <c r="B9" s="10"/>
      <c r="C9" s="10"/>
      <c r="D9" s="10"/>
      <c r="E9" s="10"/>
      <c r="F9" s="10"/>
      <c r="G9" s="10"/>
      <c r="H9" s="10"/>
      <c r="I9" s="10"/>
      <c r="J9" s="10"/>
      <c r="K9" s="10"/>
      <c r="L9" s="10"/>
      <c r="M9" s="10"/>
      <c r="N9" s="10"/>
      <c r="O9" s="10"/>
      <c r="P9" s="10"/>
      <c r="Q9" s="10"/>
      <c r="R9" s="78"/>
      <c r="S9" s="266"/>
    </row>
    <row r="10" spans="1:22" ht="20.100000000000001" customHeight="1" x14ac:dyDescent="0.2">
      <c r="A10" s="107" t="s">
        <v>70</v>
      </c>
      <c r="B10" s="10" t="s">
        <v>688</v>
      </c>
      <c r="C10" s="10"/>
      <c r="D10" s="10"/>
      <c r="E10" s="10"/>
      <c r="F10" s="10"/>
      <c r="G10" s="10"/>
      <c r="H10" s="10"/>
      <c r="I10" s="10"/>
      <c r="J10" s="10"/>
      <c r="K10" s="492"/>
      <c r="L10" s="493"/>
      <c r="M10" s="493"/>
      <c r="N10" s="493"/>
      <c r="O10" s="493"/>
      <c r="P10" s="494"/>
      <c r="Q10" s="10"/>
      <c r="R10" s="78"/>
      <c r="S10" s="84"/>
    </row>
    <row r="11" spans="1:22" ht="6" customHeight="1" x14ac:dyDescent="0.2">
      <c r="B11" s="10"/>
      <c r="C11" s="10"/>
      <c r="D11" s="10"/>
      <c r="E11" s="10"/>
      <c r="F11" s="10"/>
      <c r="G11" s="10"/>
      <c r="H11" s="10"/>
      <c r="I11" s="10"/>
      <c r="J11" s="10"/>
      <c r="K11" s="10"/>
      <c r="L11" s="10"/>
      <c r="M11" s="10"/>
      <c r="N11" s="10"/>
      <c r="O11" s="10"/>
      <c r="P11" s="10"/>
      <c r="Q11" s="10"/>
      <c r="R11" s="10"/>
      <c r="S11" s="84"/>
    </row>
    <row r="12" spans="1:22" ht="16.350000000000001" customHeight="1" x14ac:dyDescent="0.2">
      <c r="A12" s="481" t="s">
        <v>160</v>
      </c>
      <c r="B12" s="482"/>
      <c r="C12" s="482"/>
      <c r="D12" s="482"/>
      <c r="E12" s="482"/>
      <c r="F12" s="482"/>
      <c r="G12" s="482"/>
      <c r="H12" s="482"/>
      <c r="I12" s="482"/>
      <c r="J12" s="482"/>
      <c r="K12" s="482"/>
      <c r="L12" s="482"/>
      <c r="M12" s="482"/>
      <c r="N12" s="482"/>
      <c r="O12" s="482"/>
      <c r="P12" s="482"/>
      <c r="Q12" s="482"/>
      <c r="R12" s="482"/>
      <c r="S12" s="483"/>
      <c r="T12" s="65"/>
      <c r="U12" s="65"/>
      <c r="V12" s="65"/>
    </row>
    <row r="13" spans="1:22" s="39" customFormat="1" ht="6" customHeight="1" x14ac:dyDescent="0.2">
      <c r="A13" s="111"/>
      <c r="B13" s="112"/>
      <c r="C13" s="112"/>
      <c r="D13" s="112"/>
      <c r="E13" s="112"/>
      <c r="F13" s="112"/>
      <c r="G13" s="112"/>
      <c r="H13" s="112"/>
      <c r="I13" s="112"/>
      <c r="J13" s="112"/>
      <c r="K13" s="112"/>
      <c r="L13" s="112"/>
      <c r="M13" s="112"/>
      <c r="N13" s="112"/>
      <c r="O13" s="112"/>
      <c r="P13" s="112"/>
      <c r="Q13" s="112"/>
      <c r="R13" s="112"/>
      <c r="S13" s="113"/>
      <c r="T13" s="65"/>
    </row>
    <row r="14" spans="1:22" s="39" customFormat="1" ht="20.100000000000001" customHeight="1" x14ac:dyDescent="0.2">
      <c r="A14" s="107" t="s">
        <v>68</v>
      </c>
      <c r="B14" s="421" t="s">
        <v>303</v>
      </c>
      <c r="C14" s="421"/>
      <c r="D14" s="421"/>
      <c r="E14" s="421"/>
      <c r="F14" s="454"/>
      <c r="G14" s="455"/>
      <c r="H14" s="10" t="s">
        <v>29</v>
      </c>
      <c r="I14" s="22"/>
      <c r="J14" s="22"/>
      <c r="K14" s="65"/>
      <c r="L14" s="65"/>
      <c r="M14" s="65"/>
      <c r="N14" s="65"/>
      <c r="O14" s="65"/>
      <c r="P14" s="65"/>
      <c r="Q14" s="65"/>
      <c r="R14" s="65"/>
      <c r="S14" s="106"/>
      <c r="T14" s="65"/>
    </row>
    <row r="15" spans="1:22" s="39" customFormat="1" ht="18" customHeight="1" x14ac:dyDescent="0.2">
      <c r="A15" s="71"/>
      <c r="B15" s="421" t="s">
        <v>21</v>
      </c>
      <c r="C15" s="421"/>
      <c r="D15" s="421"/>
      <c r="E15" s="421"/>
      <c r="F15" s="421"/>
      <c r="G15" s="421"/>
      <c r="H15" s="421"/>
      <c r="I15" s="22"/>
      <c r="J15" s="22"/>
      <c r="K15" s="65"/>
      <c r="L15" s="65"/>
      <c r="M15" s="65"/>
      <c r="N15" s="65"/>
      <c r="O15" s="65"/>
      <c r="P15" s="65"/>
      <c r="Q15" s="65"/>
      <c r="R15" s="65"/>
      <c r="S15" s="106"/>
      <c r="T15" s="65"/>
    </row>
    <row r="16" spans="1:22" ht="6" customHeight="1" x14ac:dyDescent="0.2">
      <c r="A16" s="108"/>
      <c r="B16" s="74"/>
      <c r="C16" s="74"/>
      <c r="D16" s="74"/>
      <c r="E16" s="74"/>
      <c r="F16" s="131"/>
      <c r="G16" s="131"/>
      <c r="H16" s="74"/>
      <c r="I16" s="74"/>
      <c r="J16" s="74"/>
      <c r="K16" s="50"/>
      <c r="L16" s="50"/>
      <c r="M16" s="50"/>
      <c r="N16" s="50"/>
      <c r="O16" s="50"/>
      <c r="P16" s="50"/>
      <c r="Q16" s="42"/>
      <c r="R16" s="10"/>
      <c r="S16" s="85"/>
    </row>
    <row r="17" spans="1:19" ht="20.100000000000001" customHeight="1" x14ac:dyDescent="0.2">
      <c r="A17" s="107" t="s">
        <v>257</v>
      </c>
      <c r="B17" s="480" t="s">
        <v>302</v>
      </c>
      <c r="C17" s="480"/>
      <c r="D17" s="480"/>
      <c r="E17" s="480"/>
      <c r="F17" s="490"/>
      <c r="G17" s="491"/>
      <c r="H17" s="10" t="s">
        <v>29</v>
      </c>
      <c r="I17" s="50"/>
      <c r="J17" s="50"/>
      <c r="K17" s="50"/>
      <c r="L17" s="50"/>
      <c r="M17" s="50"/>
      <c r="N17" s="50"/>
      <c r="O17" s="50"/>
      <c r="P17" s="50"/>
      <c r="Q17" s="42"/>
      <c r="R17" s="10"/>
      <c r="S17" s="85"/>
    </row>
    <row r="18" spans="1:19" ht="6" customHeight="1" x14ac:dyDescent="0.2">
      <c r="A18" s="108"/>
      <c r="B18" s="10"/>
      <c r="C18" s="10"/>
      <c r="D18" s="10"/>
      <c r="E18" s="10"/>
      <c r="F18" s="10"/>
      <c r="G18" s="10"/>
      <c r="H18" s="10"/>
      <c r="I18" s="10"/>
      <c r="J18" s="10"/>
      <c r="K18" s="50"/>
      <c r="L18" s="50"/>
      <c r="M18" s="50"/>
      <c r="N18" s="50"/>
      <c r="O18" s="50"/>
      <c r="P18" s="50"/>
      <c r="Q18" s="42"/>
      <c r="R18" s="10"/>
      <c r="S18" s="85"/>
    </row>
    <row r="19" spans="1:19" ht="20.100000000000001" customHeight="1" x14ac:dyDescent="0.2">
      <c r="A19" s="107" t="s">
        <v>70</v>
      </c>
      <c r="B19" s="421" t="s">
        <v>307</v>
      </c>
      <c r="C19" s="421"/>
      <c r="D19" s="421"/>
      <c r="E19" s="422"/>
      <c r="F19" s="443"/>
      <c r="G19" s="444"/>
      <c r="H19" s="474" t="s">
        <v>516</v>
      </c>
      <c r="I19" s="486"/>
      <c r="J19" s="486"/>
      <c r="K19" s="486"/>
      <c r="L19" s="486"/>
      <c r="M19" s="486"/>
      <c r="N19" s="486"/>
      <c r="O19" s="50"/>
      <c r="P19" s="50"/>
      <c r="Q19" s="42"/>
      <c r="R19" s="10"/>
      <c r="S19" s="85"/>
    </row>
    <row r="20" spans="1:19" ht="6" customHeight="1" x14ac:dyDescent="0.2">
      <c r="A20" s="108"/>
      <c r="B20" s="132"/>
      <c r="C20" s="10"/>
      <c r="D20" s="10"/>
      <c r="E20" s="10"/>
      <c r="F20" s="10"/>
      <c r="G20" s="10"/>
      <c r="H20" s="10"/>
      <c r="I20" s="50"/>
      <c r="J20" s="50"/>
      <c r="K20" s="50"/>
      <c r="L20" s="50"/>
      <c r="M20" s="50"/>
      <c r="N20" s="50"/>
      <c r="O20" s="50"/>
      <c r="P20" s="50"/>
      <c r="Q20" s="42"/>
      <c r="R20" s="10"/>
      <c r="S20" s="85"/>
    </row>
    <row r="21" spans="1:19" ht="23.45" customHeight="1" x14ac:dyDescent="0.2">
      <c r="A21" s="108"/>
      <c r="B21" s="10"/>
      <c r="C21" s="10"/>
      <c r="D21" s="10"/>
      <c r="E21" s="10"/>
      <c r="F21" s="10"/>
      <c r="G21" s="10"/>
      <c r="H21" s="10"/>
      <c r="I21" s="50"/>
      <c r="J21" s="50"/>
      <c r="K21" s="50"/>
      <c r="L21" s="50"/>
      <c r="M21" s="50"/>
      <c r="N21" s="50"/>
      <c r="O21" s="50"/>
      <c r="P21" s="50"/>
      <c r="Q21" s="42"/>
      <c r="R21" s="10"/>
      <c r="S21" s="85"/>
    </row>
    <row r="22" spans="1:19" ht="23.45" customHeight="1" x14ac:dyDescent="0.2">
      <c r="A22" s="108"/>
      <c r="B22" s="10"/>
      <c r="C22" s="10"/>
      <c r="D22" s="10"/>
      <c r="E22" s="10"/>
      <c r="F22" s="10"/>
      <c r="G22" s="10"/>
      <c r="H22" s="10"/>
      <c r="I22" s="50"/>
      <c r="J22" s="50"/>
      <c r="K22" s="50"/>
      <c r="L22" s="50"/>
      <c r="M22" s="50"/>
      <c r="N22" s="50"/>
      <c r="O22" s="50"/>
      <c r="P22" s="50"/>
      <c r="Q22" s="42"/>
      <c r="R22" s="10"/>
      <c r="S22" s="85"/>
    </row>
    <row r="23" spans="1:19" ht="23.45" customHeight="1" x14ac:dyDescent="0.2">
      <c r="A23" s="108"/>
      <c r="B23" s="10"/>
      <c r="C23" s="10"/>
      <c r="D23" s="10"/>
      <c r="E23" s="10"/>
      <c r="F23" s="10"/>
      <c r="G23" s="10"/>
      <c r="H23" s="10"/>
      <c r="I23" s="50"/>
      <c r="J23" s="50"/>
      <c r="K23" s="50"/>
      <c r="L23" s="50"/>
      <c r="M23" s="50"/>
      <c r="N23" s="50"/>
      <c r="O23" s="50"/>
      <c r="P23" s="50"/>
      <c r="Q23" s="42"/>
      <c r="R23" s="10"/>
      <c r="S23" s="85"/>
    </row>
    <row r="24" spans="1:19" ht="23.45" customHeight="1" x14ac:dyDescent="0.2">
      <c r="A24" s="108"/>
      <c r="B24" s="10"/>
      <c r="C24" s="10"/>
      <c r="D24" s="10"/>
      <c r="E24" s="10"/>
      <c r="F24" s="10"/>
      <c r="G24" s="10"/>
      <c r="H24" s="10"/>
      <c r="I24" s="50"/>
      <c r="J24" s="50"/>
      <c r="K24" s="50"/>
      <c r="L24" s="50"/>
      <c r="M24" s="50"/>
      <c r="N24" s="50"/>
      <c r="O24" s="50"/>
      <c r="P24" s="50"/>
      <c r="Q24" s="42"/>
      <c r="R24" s="10"/>
      <c r="S24" s="85"/>
    </row>
    <row r="25" spans="1:19" ht="23.45" customHeight="1" x14ac:dyDescent="0.2">
      <c r="A25" s="108"/>
      <c r="B25" s="10"/>
      <c r="C25" s="10"/>
      <c r="D25" s="10"/>
      <c r="E25" s="10"/>
      <c r="F25" s="10"/>
      <c r="G25" s="10"/>
      <c r="H25" s="10"/>
      <c r="I25" s="50"/>
      <c r="J25" s="50"/>
      <c r="K25" s="50"/>
      <c r="L25" s="50"/>
      <c r="M25" s="50"/>
      <c r="N25" s="50"/>
      <c r="O25" s="50"/>
      <c r="P25" s="50"/>
      <c r="Q25" s="42"/>
      <c r="R25" s="10"/>
      <c r="S25" s="85"/>
    </row>
    <row r="26" spans="1:19" ht="23.45" customHeight="1" x14ac:dyDescent="0.2">
      <c r="A26" s="108"/>
      <c r="B26" s="10"/>
      <c r="C26" s="10"/>
      <c r="D26" s="10"/>
      <c r="E26" s="10"/>
      <c r="F26" s="10"/>
      <c r="G26" s="10"/>
      <c r="H26" s="10"/>
      <c r="I26" s="50"/>
      <c r="J26" s="50"/>
      <c r="K26" s="50"/>
      <c r="L26" s="50"/>
      <c r="M26" s="50"/>
      <c r="N26" s="50"/>
      <c r="O26" s="50"/>
      <c r="P26" s="50"/>
      <c r="Q26" s="42"/>
      <c r="R26" s="10"/>
      <c r="S26" s="85"/>
    </row>
    <row r="27" spans="1:19" ht="23.45" customHeight="1" x14ac:dyDescent="0.2">
      <c r="A27" s="108"/>
      <c r="B27" s="10"/>
      <c r="C27" s="10"/>
      <c r="D27" s="21"/>
      <c r="E27" s="21"/>
      <c r="F27" s="10"/>
      <c r="G27" s="10"/>
      <c r="H27" s="10"/>
      <c r="I27" s="10"/>
      <c r="J27" s="10"/>
      <c r="K27" s="418"/>
      <c r="L27" s="418"/>
      <c r="M27" s="29"/>
      <c r="N27" s="29"/>
      <c r="O27" s="3"/>
      <c r="P27" s="3"/>
      <c r="Q27" s="42"/>
      <c r="R27" s="64"/>
      <c r="S27" s="85"/>
    </row>
    <row r="28" spans="1:19" ht="20.100000000000001" customHeight="1" x14ac:dyDescent="0.2">
      <c r="A28" s="110" t="s">
        <v>246</v>
      </c>
      <c r="B28" s="480" t="s">
        <v>427</v>
      </c>
      <c r="C28" s="480"/>
      <c r="D28" s="480"/>
      <c r="E28" s="498"/>
      <c r="F28" s="456"/>
      <c r="G28" s="457"/>
      <c r="H28" s="10" t="s">
        <v>31</v>
      </c>
      <c r="I28" s="159"/>
      <c r="J28" s="160"/>
      <c r="K28" s="158"/>
      <c r="L28" s="158"/>
      <c r="M28" s="3"/>
      <c r="N28" s="3"/>
      <c r="O28" s="161"/>
      <c r="P28" s="161"/>
      <c r="Q28" s="64"/>
      <c r="R28" s="64"/>
      <c r="S28" s="85"/>
    </row>
    <row r="29" spans="1:19" s="39" customFormat="1" ht="6" customHeight="1" x14ac:dyDescent="0.2">
      <c r="A29" s="110"/>
      <c r="B29" s="22"/>
      <c r="C29" s="22"/>
      <c r="D29" s="22"/>
      <c r="E29" s="22"/>
      <c r="F29" s="104"/>
      <c r="G29" s="104"/>
      <c r="H29" s="81"/>
      <c r="I29" s="160"/>
      <c r="J29" s="160"/>
      <c r="K29" s="158"/>
      <c r="L29" s="158"/>
      <c r="M29" s="25"/>
      <c r="N29" s="25"/>
      <c r="O29" s="23"/>
      <c r="P29" s="23"/>
      <c r="Q29" s="64"/>
      <c r="R29" s="64"/>
      <c r="S29" s="85"/>
    </row>
    <row r="30" spans="1:19" s="39" customFormat="1" ht="20.100000000000001" customHeight="1" x14ac:dyDescent="0.2">
      <c r="A30" s="110"/>
      <c r="B30" s="499" t="s">
        <v>428</v>
      </c>
      <c r="C30" s="499"/>
      <c r="D30" s="499"/>
      <c r="E30" s="500"/>
      <c r="F30" s="451"/>
      <c r="G30" s="489"/>
      <c r="H30" s="22" t="s">
        <v>29</v>
      </c>
      <c r="I30" s="160"/>
      <c r="J30" s="160"/>
      <c r="K30" s="158"/>
      <c r="L30" s="158"/>
      <c r="M30" s="25"/>
      <c r="N30" s="25"/>
      <c r="O30" s="23"/>
      <c r="P30" s="23"/>
      <c r="Q30" s="64"/>
      <c r="R30" s="64"/>
      <c r="S30" s="85"/>
    </row>
    <row r="31" spans="1:19" s="22" customFormat="1" ht="6" customHeight="1" x14ac:dyDescent="0.2">
      <c r="A31" s="110"/>
      <c r="F31" s="104"/>
      <c r="G31" s="104"/>
      <c r="H31" s="81"/>
      <c r="K31" s="25"/>
      <c r="L31" s="25"/>
      <c r="M31" s="25"/>
      <c r="N31" s="25"/>
      <c r="O31" s="23"/>
      <c r="P31" s="23"/>
      <c r="Q31" s="64"/>
      <c r="R31" s="64"/>
      <c r="S31" s="85"/>
    </row>
    <row r="32" spans="1:19" ht="18" customHeight="1" x14ac:dyDescent="0.2">
      <c r="A32" s="110" t="s">
        <v>247</v>
      </c>
      <c r="B32" s="499" t="s">
        <v>429</v>
      </c>
      <c r="C32" s="499"/>
      <c r="D32" s="499"/>
      <c r="E32" s="499"/>
      <c r="F32" s="499"/>
      <c r="G32" s="499"/>
      <c r="H32" s="499"/>
      <c r="I32" s="499"/>
      <c r="J32" s="499"/>
      <c r="K32" s="439"/>
      <c r="L32" s="439"/>
      <c r="M32" s="29"/>
      <c r="N32" s="29"/>
      <c r="O32" s="161"/>
      <c r="P32" s="161"/>
      <c r="Q32" s="64"/>
      <c r="R32" s="64"/>
      <c r="S32" s="85"/>
    </row>
    <row r="33" spans="1:19" ht="10.5" customHeight="1" x14ac:dyDescent="0.2">
      <c r="A33" s="110"/>
      <c r="B33" s="22"/>
      <c r="C33" s="22"/>
      <c r="D33" s="22"/>
      <c r="E33" s="22"/>
      <c r="F33" s="22"/>
      <c r="G33" s="22"/>
      <c r="H33" s="22"/>
      <c r="I33" s="22"/>
      <c r="J33" s="22"/>
      <c r="K33" s="25"/>
      <c r="L33" s="25"/>
      <c r="M33" s="25"/>
      <c r="N33" s="25"/>
      <c r="O33" s="23"/>
      <c r="P33" s="23"/>
      <c r="Q33" s="64"/>
      <c r="R33" s="64"/>
      <c r="S33" s="85"/>
    </row>
    <row r="34" spans="1:19" ht="20.100000000000001" customHeight="1" x14ac:dyDescent="0.2">
      <c r="A34" s="94"/>
      <c r="B34" s="22" t="s">
        <v>305</v>
      </c>
      <c r="C34" s="22"/>
      <c r="D34" s="22"/>
      <c r="E34" s="441" t="str">
        <f>IF(ISBLANK(F28),"",(1042*((MAX(K8,K6)/(130*F28^2.63))^1.85)))</f>
        <v/>
      </c>
      <c r="F34" s="442"/>
      <c r="G34" s="501" t="s">
        <v>304</v>
      </c>
      <c r="H34" s="499"/>
      <c r="I34" s="499"/>
      <c r="J34" s="499"/>
      <c r="K34" s="22"/>
      <c r="L34" s="22"/>
      <c r="M34" s="22"/>
      <c r="N34" s="48"/>
      <c r="O34" s="48"/>
      <c r="P34" s="64"/>
      <c r="Q34" s="64"/>
      <c r="R34" s="64"/>
      <c r="S34" s="85"/>
    </row>
    <row r="35" spans="1:19" s="39" customFormat="1" ht="6" customHeight="1" x14ac:dyDescent="0.2">
      <c r="A35" s="94"/>
      <c r="B35" s="22"/>
      <c r="C35" s="22"/>
      <c r="D35" s="22"/>
      <c r="E35" s="22"/>
      <c r="F35" s="104"/>
      <c r="G35" s="104"/>
      <c r="H35" s="22"/>
      <c r="I35" s="22"/>
      <c r="J35" s="22"/>
      <c r="K35" s="22"/>
      <c r="L35" s="22"/>
      <c r="M35" s="22"/>
      <c r="N35" s="48"/>
      <c r="O35" s="48"/>
      <c r="P35" s="64"/>
      <c r="Q35" s="64"/>
      <c r="R35" s="64"/>
      <c r="S35" s="85"/>
    </row>
    <row r="36" spans="1:19" ht="18" customHeight="1" x14ac:dyDescent="0.2">
      <c r="A36" s="110" t="s">
        <v>259</v>
      </c>
      <c r="B36" s="510" t="s">
        <v>689</v>
      </c>
      <c r="C36" s="510"/>
      <c r="D36" s="510"/>
      <c r="E36" s="510"/>
      <c r="F36" s="510"/>
      <c r="G36" s="510"/>
      <c r="H36" s="510"/>
      <c r="I36" s="510"/>
      <c r="J36" s="510"/>
      <c r="K36" s="510"/>
      <c r="L36" s="510"/>
      <c r="M36" s="50"/>
      <c r="N36" s="50"/>
      <c r="O36" s="48"/>
      <c r="P36" s="64"/>
      <c r="Q36" s="64"/>
      <c r="R36" s="64"/>
      <c r="S36" s="85"/>
    </row>
    <row r="37" spans="1:19" ht="18" customHeight="1" x14ac:dyDescent="0.2">
      <c r="A37" s="110"/>
      <c r="B37" s="510"/>
      <c r="C37" s="510"/>
      <c r="D37" s="510"/>
      <c r="E37" s="510"/>
      <c r="F37" s="510"/>
      <c r="G37" s="510"/>
      <c r="H37" s="510"/>
      <c r="I37" s="510"/>
      <c r="J37" s="510"/>
      <c r="K37" s="510"/>
      <c r="L37" s="510"/>
      <c r="M37" s="50"/>
      <c r="N37" s="50"/>
      <c r="O37" s="48"/>
      <c r="P37" s="64"/>
      <c r="Q37" s="64"/>
      <c r="R37" s="22"/>
      <c r="S37" s="85"/>
    </row>
    <row r="38" spans="1:19" ht="18" customHeight="1" x14ac:dyDescent="0.2">
      <c r="A38" s="110"/>
      <c r="B38" s="510"/>
      <c r="C38" s="510"/>
      <c r="D38" s="510"/>
      <c r="E38" s="510"/>
      <c r="F38" s="510"/>
      <c r="G38" s="510"/>
      <c r="H38" s="510"/>
      <c r="I38" s="510"/>
      <c r="J38" s="510"/>
      <c r="K38" s="510"/>
      <c r="L38" s="510"/>
      <c r="M38" s="50"/>
      <c r="N38" s="50"/>
      <c r="O38" s="48"/>
      <c r="P38" s="64"/>
      <c r="Q38" s="64"/>
      <c r="R38" s="22"/>
      <c r="S38" s="85"/>
    </row>
    <row r="39" spans="1:19" s="22" customFormat="1" ht="20.100000000000001" customHeight="1" x14ac:dyDescent="0.2">
      <c r="A39" s="94"/>
      <c r="B39" s="415" t="str">
        <f>IF(ISBLANK(F30),"",F30)</f>
        <v/>
      </c>
      <c r="C39" s="416"/>
      <c r="D39" s="25" t="s">
        <v>29</v>
      </c>
      <c r="E39" s="25" t="s">
        <v>37</v>
      </c>
      <c r="F39" s="25">
        <v>1.25</v>
      </c>
      <c r="G39" s="25" t="s">
        <v>38</v>
      </c>
      <c r="H39" s="434" t="str">
        <f>IF(ISBLANK(F30),"",(B39*1.25))</f>
        <v/>
      </c>
      <c r="I39" s="435"/>
      <c r="J39" s="22" t="s">
        <v>29</v>
      </c>
      <c r="K39" s="99"/>
      <c r="L39" s="99"/>
      <c r="M39" s="82"/>
      <c r="S39" s="85"/>
    </row>
    <row r="40" spans="1:19" s="39" customFormat="1" ht="6" customHeight="1" x14ac:dyDescent="0.2">
      <c r="A40" s="94"/>
      <c r="B40" s="22"/>
      <c r="C40" s="22"/>
      <c r="D40" s="22"/>
      <c r="E40" s="22"/>
      <c r="F40" s="99"/>
      <c r="G40" s="99"/>
      <c r="H40" s="81"/>
      <c r="I40" s="81"/>
      <c r="J40" s="81"/>
      <c r="K40" s="81"/>
      <c r="L40" s="99"/>
      <c r="M40" s="99"/>
      <c r="N40" s="99"/>
      <c r="O40" s="82"/>
      <c r="P40" s="22"/>
      <c r="Q40" s="22"/>
      <c r="R40" s="22"/>
      <c r="S40" s="85"/>
    </row>
    <row r="41" spans="1:19" ht="18" customHeight="1" x14ac:dyDescent="0.2">
      <c r="A41" s="110" t="s">
        <v>260</v>
      </c>
      <c r="B41" s="502" t="s">
        <v>690</v>
      </c>
      <c r="C41" s="502"/>
      <c r="D41" s="502"/>
      <c r="E41" s="502"/>
      <c r="F41" s="502"/>
      <c r="G41" s="502"/>
      <c r="H41" s="502"/>
      <c r="I41" s="502"/>
      <c r="J41" s="502"/>
      <c r="K41" s="502"/>
      <c r="L41" s="502"/>
      <c r="M41" s="502"/>
      <c r="N41" s="502"/>
      <c r="O41" s="502"/>
      <c r="P41" s="502"/>
      <c r="Q41" s="502"/>
      <c r="R41" s="502"/>
      <c r="S41" s="503"/>
    </row>
    <row r="42" spans="1:19" ht="18" customHeight="1" x14ac:dyDescent="0.2">
      <c r="A42" s="109"/>
      <c r="B42" s="499" t="s">
        <v>306</v>
      </c>
      <c r="C42" s="499"/>
      <c r="D42" s="499"/>
      <c r="E42" s="499"/>
      <c r="F42" s="50"/>
      <c r="G42" s="50"/>
      <c r="H42" s="50"/>
      <c r="I42" s="50"/>
      <c r="J42" s="50"/>
      <c r="K42" s="50"/>
      <c r="L42" s="50"/>
      <c r="M42" s="50"/>
      <c r="N42" s="22"/>
      <c r="O42" s="22"/>
      <c r="P42" s="22"/>
      <c r="Q42" s="22"/>
      <c r="R42" s="22"/>
      <c r="S42" s="85"/>
    </row>
    <row r="43" spans="1:19" ht="20.100000000000001" customHeight="1" x14ac:dyDescent="0.2">
      <c r="A43" s="94"/>
      <c r="B43" s="441" t="str">
        <f>IF(ISBLANK(E34)," ",E34)</f>
        <v/>
      </c>
      <c r="C43" s="442"/>
      <c r="D43" s="22" t="s">
        <v>155</v>
      </c>
      <c r="E43" s="22"/>
      <c r="F43" s="22"/>
      <c r="G43" s="25" t="s">
        <v>37</v>
      </c>
      <c r="H43" s="434" t="str">
        <f>H39</f>
        <v/>
      </c>
      <c r="I43" s="435"/>
      <c r="J43" s="22" t="s">
        <v>29</v>
      </c>
      <c r="K43" s="133" t="s">
        <v>300</v>
      </c>
      <c r="L43" s="25">
        <v>100</v>
      </c>
      <c r="M43" s="25" t="s">
        <v>38</v>
      </c>
      <c r="N43" s="434" t="str">
        <f>IF(ISBLANK(F30),"",((B43*H43)/100))</f>
        <v/>
      </c>
      <c r="O43" s="435"/>
      <c r="P43" s="22" t="s">
        <v>29</v>
      </c>
      <c r="Q43" s="22"/>
      <c r="R43" s="22"/>
      <c r="S43" s="85"/>
    </row>
    <row r="44" spans="1:19" s="39" customFormat="1" ht="6" customHeight="1" x14ac:dyDescent="0.2">
      <c r="A44" s="255"/>
      <c r="B44" s="87"/>
      <c r="C44" s="114"/>
      <c r="D44" s="114"/>
      <c r="E44" s="115"/>
      <c r="F44" s="87"/>
      <c r="G44" s="96"/>
      <c r="H44" s="114"/>
      <c r="I44" s="114"/>
      <c r="J44" s="115"/>
      <c r="K44" s="116"/>
      <c r="L44" s="122"/>
      <c r="M44" s="122"/>
      <c r="N44" s="122"/>
      <c r="O44" s="122"/>
      <c r="P44" s="122"/>
      <c r="Q44" s="122"/>
      <c r="R44" s="122"/>
      <c r="S44" s="262"/>
    </row>
    <row r="45" spans="1:19" s="39" customFormat="1" ht="6" customHeight="1" x14ac:dyDescent="0.2">
      <c r="A45" s="98"/>
      <c r="B45" s="92"/>
      <c r="C45" s="117"/>
      <c r="D45" s="117"/>
      <c r="E45" s="118"/>
      <c r="F45" s="92"/>
      <c r="G45" s="119"/>
      <c r="H45" s="117"/>
      <c r="I45" s="117"/>
      <c r="J45" s="118"/>
      <c r="K45" s="120"/>
      <c r="L45" s="119"/>
      <c r="M45" s="134"/>
      <c r="N45" s="118"/>
      <c r="O45" s="121"/>
      <c r="P45" s="121"/>
      <c r="Q45" s="121"/>
      <c r="R45" s="121"/>
      <c r="S45" s="267"/>
    </row>
    <row r="46" spans="1:19" ht="18" customHeight="1" x14ac:dyDescent="0.2">
      <c r="A46" s="107" t="s">
        <v>261</v>
      </c>
      <c r="B46" s="7" t="s">
        <v>701</v>
      </c>
      <c r="C46" s="372"/>
      <c r="D46" s="372"/>
      <c r="E46" s="372"/>
      <c r="F46" s="372"/>
      <c r="G46" s="372"/>
      <c r="H46" s="372"/>
      <c r="I46" s="372"/>
      <c r="J46" s="372"/>
      <c r="K46" s="372"/>
      <c r="L46" s="372"/>
      <c r="M46" s="372"/>
      <c r="N46" s="372"/>
      <c r="O46" s="372"/>
      <c r="P46" s="372"/>
      <c r="Q46" s="372"/>
      <c r="R46" s="372"/>
      <c r="S46" s="375"/>
    </row>
    <row r="47" spans="1:19" ht="6" customHeight="1" x14ac:dyDescent="0.2">
      <c r="A47" s="108"/>
      <c r="B47" s="38"/>
      <c r="C47" s="38"/>
      <c r="D47" s="38"/>
      <c r="E47" s="38"/>
      <c r="F47" s="38"/>
      <c r="G47" s="38"/>
      <c r="H47" s="38"/>
      <c r="I47" s="38"/>
      <c r="J47" s="38"/>
      <c r="K47" s="38"/>
      <c r="L47" s="38"/>
      <c r="M47" s="38"/>
      <c r="N47" s="38"/>
      <c r="O47" s="10"/>
      <c r="P47" s="41"/>
      <c r="Q47" s="41"/>
      <c r="R47" s="5"/>
      <c r="S47" s="85"/>
    </row>
    <row r="48" spans="1:19" ht="20.100000000000001" customHeight="1" x14ac:dyDescent="0.2">
      <c r="A48" s="71"/>
      <c r="B48" s="434" t="str">
        <f>IF(ISBLANK(F14)," ",(F14))</f>
        <v xml:space="preserve"> </v>
      </c>
      <c r="C48" s="435"/>
      <c r="D48" s="10" t="s">
        <v>154</v>
      </c>
      <c r="E48" s="5" t="s">
        <v>163</v>
      </c>
      <c r="F48" s="434" t="str">
        <f>IF(ISBLANK(F17)," ",(F17))</f>
        <v xml:space="preserve"> </v>
      </c>
      <c r="G48" s="435"/>
      <c r="H48" s="10" t="s">
        <v>29</v>
      </c>
      <c r="I48" s="5" t="s">
        <v>163</v>
      </c>
      <c r="J48" s="434" t="str">
        <f>IF(ISBLANK(F19)," ",F19)</f>
        <v xml:space="preserve"> </v>
      </c>
      <c r="K48" s="435"/>
      <c r="L48" s="10" t="s">
        <v>296</v>
      </c>
      <c r="M48" s="434" t="str">
        <f>IF(ISBLANK(N43)," ",N43)</f>
        <v/>
      </c>
      <c r="N48" s="435"/>
      <c r="O48" s="10" t="s">
        <v>380</v>
      </c>
      <c r="P48" s="434" t="str">
        <f>IF(ISBLANK(F28),"",SUM(B48,J48,F48+M48,))</f>
        <v/>
      </c>
      <c r="Q48" s="435"/>
      <c r="R48" s="10" t="s">
        <v>29</v>
      </c>
      <c r="S48" s="84"/>
    </row>
    <row r="49" spans="1:47" ht="6" customHeight="1" x14ac:dyDescent="0.2">
      <c r="A49" s="127"/>
      <c r="B49" s="75"/>
      <c r="C49" s="75"/>
      <c r="D49" s="75"/>
      <c r="E49" s="75"/>
      <c r="F49" s="75"/>
      <c r="G49" s="75"/>
      <c r="H49" s="75"/>
      <c r="I49" s="75"/>
      <c r="J49" s="75"/>
      <c r="K49" s="75"/>
      <c r="L49" s="75"/>
      <c r="M49" s="75"/>
      <c r="N49" s="75"/>
      <c r="O49" s="75"/>
      <c r="P49" s="56"/>
      <c r="Q49" s="75"/>
      <c r="R49" s="54"/>
      <c r="S49" s="268"/>
    </row>
    <row r="50" spans="1:47" ht="16.350000000000001" customHeight="1" x14ac:dyDescent="0.2">
      <c r="A50" s="513" t="s">
        <v>161</v>
      </c>
      <c r="B50" s="514"/>
      <c r="C50" s="514"/>
      <c r="D50" s="514"/>
      <c r="E50" s="514"/>
      <c r="F50" s="514"/>
      <c r="G50" s="514"/>
      <c r="H50" s="514"/>
      <c r="I50" s="514"/>
      <c r="J50" s="514"/>
      <c r="K50" s="514"/>
      <c r="L50" s="514"/>
      <c r="M50" s="514"/>
      <c r="N50" s="514"/>
      <c r="O50" s="514"/>
      <c r="P50" s="514"/>
      <c r="Q50" s="514"/>
      <c r="R50" s="514"/>
      <c r="S50" s="515"/>
      <c r="T50" s="65"/>
    </row>
    <row r="51" spans="1:47" ht="20.45" customHeight="1" x14ac:dyDescent="0.2">
      <c r="A51" s="516" t="s">
        <v>67</v>
      </c>
      <c r="B51" s="517"/>
      <c r="C51" s="517"/>
      <c r="D51" s="517"/>
      <c r="E51" s="517"/>
      <c r="F51" s="517"/>
      <c r="G51" s="517"/>
      <c r="H51" s="518" t="str">
        <f>IF(ISBLANK(F14),"",(MAX(K6,K8)))</f>
        <v/>
      </c>
      <c r="I51" s="518"/>
      <c r="J51" s="146" t="s">
        <v>691</v>
      </c>
      <c r="K51" s="146"/>
      <c r="L51" s="146"/>
      <c r="M51" s="146"/>
      <c r="N51" s="146"/>
      <c r="O51" s="518" t="str">
        <f>IF(ISBLANK(F14), "  ",P48)</f>
        <v xml:space="preserve">  </v>
      </c>
      <c r="P51" s="518"/>
      <c r="Q51" s="146" t="s">
        <v>301</v>
      </c>
      <c r="R51" s="10"/>
      <c r="S51" s="269"/>
    </row>
    <row r="52" spans="1:47" s="39" customFormat="1" ht="6" customHeight="1" x14ac:dyDescent="0.2">
      <c r="A52" s="98"/>
      <c r="B52" s="92"/>
      <c r="C52" s="117"/>
      <c r="D52" s="117"/>
      <c r="E52" s="118"/>
      <c r="F52" s="92"/>
      <c r="G52" s="119"/>
      <c r="H52" s="117"/>
      <c r="I52" s="117"/>
      <c r="J52" s="118"/>
      <c r="K52" s="120"/>
      <c r="L52" s="119"/>
      <c r="M52" s="134"/>
      <c r="N52" s="118"/>
      <c r="O52" s="121"/>
      <c r="P52" s="121"/>
      <c r="Q52" s="121"/>
      <c r="R52" s="121"/>
      <c r="S52" s="267"/>
    </row>
    <row r="53" spans="1:47" ht="20.100000000000001" customHeight="1" x14ac:dyDescent="0.2">
      <c r="A53" s="504" t="s">
        <v>10</v>
      </c>
      <c r="B53" s="505"/>
      <c r="C53" s="505"/>
      <c r="D53" s="506"/>
      <c r="E53" s="506"/>
      <c r="F53" s="506"/>
      <c r="G53" s="506"/>
      <c r="H53" s="506"/>
      <c r="I53" s="506"/>
      <c r="J53" s="506"/>
      <c r="K53" s="506"/>
      <c r="L53" s="506"/>
      <c r="M53" s="506"/>
      <c r="N53" s="506"/>
      <c r="O53" s="506"/>
      <c r="P53" s="506"/>
      <c r="Q53" s="506"/>
      <c r="R53" s="506"/>
      <c r="S53" s="507"/>
    </row>
    <row r="54" spans="1:47" ht="84.75" customHeight="1" thickBot="1" x14ac:dyDescent="0.25">
      <c r="A54" s="519"/>
      <c r="B54" s="520"/>
      <c r="C54" s="520"/>
      <c r="D54" s="520"/>
      <c r="E54" s="520"/>
      <c r="F54" s="520"/>
      <c r="G54" s="520"/>
      <c r="H54" s="520"/>
      <c r="I54" s="520"/>
      <c r="J54" s="520"/>
      <c r="K54" s="520"/>
      <c r="L54" s="520"/>
      <c r="M54" s="520"/>
      <c r="N54" s="520"/>
      <c r="O54" s="520"/>
      <c r="P54" s="520"/>
      <c r="Q54" s="520"/>
      <c r="R54" s="520"/>
      <c r="S54" s="521"/>
    </row>
    <row r="55" spans="1:47" ht="9.75" customHeight="1" x14ac:dyDescent="0.2">
      <c r="AU55" s="23"/>
    </row>
    <row r="56" spans="1:47" ht="24.75" customHeight="1" x14ac:dyDescent="0.2">
      <c r="AU56" s="23"/>
    </row>
    <row r="57" spans="1:47" ht="24.75" customHeight="1" x14ac:dyDescent="0.2">
      <c r="AU57" s="23"/>
    </row>
    <row r="58" spans="1:47" ht="24.75" customHeight="1" x14ac:dyDescent="0.2">
      <c r="AU58" s="23"/>
    </row>
    <row r="59" spans="1:47" ht="24.75" customHeight="1" x14ac:dyDescent="0.2">
      <c r="AU59" s="23"/>
    </row>
    <row r="60" spans="1:47" ht="24.75" customHeight="1" x14ac:dyDescent="0.2">
      <c r="AU60" s="23"/>
    </row>
    <row r="61" spans="1:47" ht="24.75" customHeight="1" x14ac:dyDescent="0.2">
      <c r="AU61" s="23"/>
    </row>
    <row r="62" spans="1:47" ht="24.75" customHeight="1" x14ac:dyDescent="0.2">
      <c r="AU62" s="23"/>
    </row>
    <row r="63" spans="1:47" ht="24.75" customHeight="1" x14ac:dyDescent="0.2">
      <c r="AU63" s="23"/>
    </row>
    <row r="64" spans="1:47" ht="24.75" customHeight="1" x14ac:dyDescent="0.2">
      <c r="AU64" s="23"/>
    </row>
    <row r="65" spans="26:47" ht="24.75" customHeight="1" x14ac:dyDescent="0.2">
      <c r="AU65" s="23"/>
    </row>
    <row r="66" spans="26:47" ht="24.75" customHeight="1" x14ac:dyDescent="0.2">
      <c r="AU66" s="23"/>
    </row>
    <row r="67" spans="26:47" ht="24.75" customHeight="1" x14ac:dyDescent="0.2">
      <c r="AU67" s="23"/>
    </row>
    <row r="68" spans="26:47" ht="24.75" customHeight="1" x14ac:dyDescent="0.2">
      <c r="AU68" s="23"/>
    </row>
    <row r="69" spans="26:47" ht="24.75" customHeight="1" x14ac:dyDescent="0.2">
      <c r="AU69" s="23"/>
    </row>
    <row r="70" spans="26:47" ht="24.75" customHeight="1" x14ac:dyDescent="0.2">
      <c r="AU70" s="23"/>
    </row>
    <row r="71" spans="26:47" ht="24.75" customHeight="1" x14ac:dyDescent="0.2">
      <c r="AU71" s="23"/>
    </row>
    <row r="72" spans="26:47" ht="24.75" customHeight="1" x14ac:dyDescent="0.2">
      <c r="AU72" s="23"/>
    </row>
    <row r="73" spans="26:47" ht="24.75" customHeight="1" x14ac:dyDescent="0.2">
      <c r="AU73" s="23"/>
    </row>
    <row r="74" spans="26:47" ht="24.75" customHeight="1" x14ac:dyDescent="0.2">
      <c r="AU74" s="23"/>
    </row>
    <row r="75" spans="26:47" ht="24.75" customHeight="1" x14ac:dyDescent="0.2">
      <c r="AU75" s="23"/>
    </row>
    <row r="76" spans="26:47" ht="24.75" customHeight="1" x14ac:dyDescent="0.2">
      <c r="AU76" s="23"/>
    </row>
    <row r="77" spans="26:47" ht="24.75" customHeight="1" x14ac:dyDescent="0.2">
      <c r="Z77" s="26"/>
      <c r="AA77" s="23"/>
      <c r="AB77" s="511" t="s">
        <v>11</v>
      </c>
      <c r="AC77" s="512"/>
      <c r="AD77" s="100">
        <v>1.5</v>
      </c>
      <c r="AE77" s="100">
        <v>2</v>
      </c>
      <c r="AF77" s="101">
        <v>3</v>
      </c>
      <c r="AU77" s="23"/>
    </row>
    <row r="78" spans="26:47" ht="24.75" customHeight="1" x14ac:dyDescent="0.2">
      <c r="Z78" s="66"/>
      <c r="AA78" s="23"/>
      <c r="AB78" s="511" t="s">
        <v>12</v>
      </c>
      <c r="AC78" s="512"/>
      <c r="AD78" s="102">
        <v>1.07</v>
      </c>
      <c r="AE78" s="100">
        <v>1.38</v>
      </c>
      <c r="AF78" s="101">
        <v>2.04</v>
      </c>
    </row>
    <row r="79" spans="26:47" ht="24.75" customHeight="1" x14ac:dyDescent="0.2">
      <c r="Z79" s="26"/>
      <c r="AA79" s="23"/>
      <c r="AB79" s="511" t="s">
        <v>13</v>
      </c>
      <c r="AC79" s="512"/>
      <c r="AD79" s="100">
        <v>4.03</v>
      </c>
      <c r="AE79" s="100">
        <v>5.17</v>
      </c>
      <c r="AF79" s="101">
        <v>7.67</v>
      </c>
    </row>
    <row r="80" spans="26:47" ht="24.75" customHeight="1" x14ac:dyDescent="0.2">
      <c r="Z80" s="26"/>
      <c r="AA80" s="23"/>
      <c r="AB80" s="511" t="s">
        <v>14</v>
      </c>
      <c r="AC80" s="512"/>
      <c r="AD80" s="100">
        <v>2.15</v>
      </c>
      <c r="AE80" s="100">
        <v>2.76</v>
      </c>
      <c r="AF80" s="101">
        <v>4.09</v>
      </c>
    </row>
    <row r="81" spans="26:32" ht="24.75" customHeight="1" x14ac:dyDescent="0.2">
      <c r="Z81" s="89"/>
      <c r="AA81" s="23"/>
      <c r="AB81" s="511" t="s">
        <v>15</v>
      </c>
      <c r="AC81" s="512"/>
      <c r="AD81" s="100">
        <v>2.68</v>
      </c>
      <c r="AE81" s="100">
        <v>3.45</v>
      </c>
      <c r="AF81" s="101">
        <v>5.1100000000000003</v>
      </c>
    </row>
    <row r="82" spans="26:32" ht="24.75" customHeight="1" x14ac:dyDescent="0.2">
      <c r="AA82" s="23"/>
      <c r="AB82" s="511" t="s">
        <v>16</v>
      </c>
      <c r="AC82" s="512"/>
      <c r="AD82" s="100">
        <v>8.0500000000000007</v>
      </c>
      <c r="AE82" s="102">
        <v>10.3</v>
      </c>
      <c r="AF82" s="103">
        <v>15.3</v>
      </c>
    </row>
    <row r="83" spans="26:32" ht="24.75" customHeight="1" x14ac:dyDescent="0.2">
      <c r="AA83" s="23"/>
      <c r="AB83" s="508" t="s">
        <v>17</v>
      </c>
      <c r="AC83" s="509"/>
      <c r="AD83" s="102">
        <v>13.4</v>
      </c>
      <c r="AE83" s="102">
        <v>17.2</v>
      </c>
      <c r="AF83" s="103">
        <v>25.5</v>
      </c>
    </row>
    <row r="84" spans="26:32" ht="24.75" customHeight="1" x14ac:dyDescent="0.2">
      <c r="AA84" s="23"/>
      <c r="AB84" s="508" t="s">
        <v>18</v>
      </c>
      <c r="AC84" s="509"/>
      <c r="AD84" s="102">
        <v>20.100000000000001</v>
      </c>
      <c r="AE84" s="102">
        <v>25.8</v>
      </c>
      <c r="AF84" s="103">
        <v>38.4</v>
      </c>
    </row>
    <row r="85" spans="26:32" ht="24.75" customHeight="1" x14ac:dyDescent="0.2">
      <c r="AA85" s="23"/>
      <c r="AB85" s="508" t="s">
        <v>19</v>
      </c>
      <c r="AC85" s="509"/>
      <c r="AD85" s="102">
        <v>45.6</v>
      </c>
      <c r="AE85" s="102">
        <v>58.6</v>
      </c>
      <c r="AF85" s="103">
        <v>86.9</v>
      </c>
    </row>
    <row r="86" spans="26:32" ht="24.75" customHeight="1" x14ac:dyDescent="0.2">
      <c r="AA86" s="23"/>
      <c r="AB86" s="508" t="s">
        <v>20</v>
      </c>
      <c r="AC86" s="509"/>
      <c r="AD86" s="100" t="s">
        <v>295</v>
      </c>
      <c r="AE86" s="100">
        <v>7.75</v>
      </c>
      <c r="AF86" s="103">
        <v>11.5</v>
      </c>
    </row>
    <row r="87" spans="26:32" ht="24.75" customHeight="1" x14ac:dyDescent="0.2">
      <c r="AA87" s="23"/>
    </row>
    <row r="88" spans="26:32" ht="24.75" customHeight="1" x14ac:dyDescent="0.2">
      <c r="AA88" s="23"/>
    </row>
    <row r="89" spans="26:32" ht="24.75" customHeight="1" x14ac:dyDescent="0.2">
      <c r="AA89" s="23"/>
    </row>
    <row r="90" spans="26:32" ht="24.75" customHeight="1" x14ac:dyDescent="0.2">
      <c r="AA90" s="23"/>
    </row>
    <row r="91" spans="26:32" ht="24.75" customHeight="1" x14ac:dyDescent="0.2">
      <c r="AA91" s="23"/>
    </row>
    <row r="92" spans="26:32" ht="24.75" customHeight="1" x14ac:dyDescent="0.2">
      <c r="AA92" s="23"/>
    </row>
    <row r="93" spans="26:32" ht="24.75" customHeight="1" x14ac:dyDescent="0.2">
      <c r="AA93" s="23"/>
    </row>
    <row r="94" spans="26:32" ht="24.75" customHeight="1" x14ac:dyDescent="0.2">
      <c r="AA94" s="23"/>
    </row>
    <row r="95" spans="26:32" ht="24.75" customHeight="1" x14ac:dyDescent="0.2">
      <c r="AA95" s="23"/>
    </row>
    <row r="96" spans="26:32" ht="24.75" customHeight="1" x14ac:dyDescent="0.2">
      <c r="AA96" s="23"/>
    </row>
    <row r="97" spans="27:27" ht="24.75" customHeight="1" x14ac:dyDescent="0.2">
      <c r="AA97" s="23"/>
    </row>
    <row r="98" spans="27:27" ht="24.75" customHeight="1" x14ac:dyDescent="0.2">
      <c r="AA98" s="23"/>
    </row>
    <row r="99" spans="27:27" ht="24.75" customHeight="1" x14ac:dyDescent="0.2">
      <c r="AA99" s="23"/>
    </row>
    <row r="100" spans="27:27" ht="24.75" customHeight="1" x14ac:dyDescent="0.2">
      <c r="AA100" s="23"/>
    </row>
    <row r="101" spans="27:27" ht="24.75" customHeight="1" x14ac:dyDescent="0.2">
      <c r="AA101" s="23"/>
    </row>
    <row r="102" spans="27:27" ht="24.75" customHeight="1" x14ac:dyDescent="0.2">
      <c r="AA102" s="23"/>
    </row>
    <row r="103" spans="27:27" ht="24.75" customHeight="1" x14ac:dyDescent="0.2">
      <c r="AA103" s="23"/>
    </row>
    <row r="104" spans="27:27" ht="24.75" customHeight="1" x14ac:dyDescent="0.2">
      <c r="AA104" s="23"/>
    </row>
    <row r="105" spans="27:27" ht="24.75" customHeight="1" x14ac:dyDescent="0.2">
      <c r="AA105" s="23"/>
    </row>
    <row r="106" spans="27:27" ht="24.75" customHeight="1" x14ac:dyDescent="0.2">
      <c r="AA106" s="23"/>
    </row>
    <row r="107" spans="27:27" ht="24.75" customHeight="1" x14ac:dyDescent="0.2">
      <c r="AA107" s="23"/>
    </row>
    <row r="108" spans="27:27" ht="24.75" customHeight="1" x14ac:dyDescent="0.2">
      <c r="AA108" s="23"/>
    </row>
    <row r="109" spans="27:27" ht="24.75" customHeight="1" x14ac:dyDescent="0.2">
      <c r="AA109" s="23"/>
    </row>
    <row r="110" spans="27:27" ht="24.75" customHeight="1" x14ac:dyDescent="0.2">
      <c r="AA110" s="23"/>
    </row>
    <row r="111" spans="27:27" ht="24.75" customHeight="1" x14ac:dyDescent="0.2">
      <c r="AA111" s="23"/>
    </row>
    <row r="112" spans="27:27" ht="24.75" customHeight="1" x14ac:dyDescent="0.2">
      <c r="AA112" s="23"/>
    </row>
    <row r="113" spans="27:27" ht="24.75" customHeight="1" x14ac:dyDescent="0.2">
      <c r="AA113" s="23"/>
    </row>
    <row r="114" spans="27:27" ht="24.75" customHeight="1" x14ac:dyDescent="0.2">
      <c r="AA114" s="23"/>
    </row>
    <row r="115" spans="27:27" ht="24.75" customHeight="1" x14ac:dyDescent="0.2">
      <c r="AA115" s="23"/>
    </row>
    <row r="116" spans="27:27" ht="24.75" customHeight="1" x14ac:dyDescent="0.2">
      <c r="AA116" s="23"/>
    </row>
    <row r="117" spans="27:27" ht="24.75" customHeight="1" x14ac:dyDescent="0.2">
      <c r="AA117" s="23"/>
    </row>
    <row r="118" spans="27:27" ht="24.75" customHeight="1" x14ac:dyDescent="0.2">
      <c r="AA118" s="23"/>
    </row>
    <row r="119" spans="27:27" ht="24.75" customHeight="1" x14ac:dyDescent="0.2">
      <c r="AA119" s="23"/>
    </row>
    <row r="120" spans="27:27" ht="24.75" customHeight="1" x14ac:dyDescent="0.2">
      <c r="AA120" s="23"/>
    </row>
    <row r="121" spans="27:27" ht="24.75" customHeight="1" x14ac:dyDescent="0.2">
      <c r="AA121" s="23"/>
    </row>
    <row r="122" spans="27:27" ht="24.75" customHeight="1" x14ac:dyDescent="0.2">
      <c r="AA122" s="23"/>
    </row>
    <row r="123" spans="27:27" ht="24.75" customHeight="1" x14ac:dyDescent="0.2">
      <c r="AA123" s="23"/>
    </row>
    <row r="124" spans="27:27" ht="24.75" customHeight="1" x14ac:dyDescent="0.2">
      <c r="AA124" s="23"/>
    </row>
    <row r="125" spans="27:27" ht="24.75" customHeight="1" x14ac:dyDescent="0.2">
      <c r="AA125" s="23"/>
    </row>
    <row r="126" spans="27:27" ht="24.75" customHeight="1" x14ac:dyDescent="0.2">
      <c r="AA126" s="23"/>
    </row>
    <row r="127" spans="27:27" ht="24.75" customHeight="1" x14ac:dyDescent="0.2">
      <c r="AA127" s="23"/>
    </row>
    <row r="128" spans="27:27" ht="24.75" customHeight="1" x14ac:dyDescent="0.2">
      <c r="AA128" s="23"/>
    </row>
  </sheetData>
  <sheetProtection sheet="1" objects="1" scenarios="1"/>
  <customSheetViews>
    <customSheetView guid="{D1431318-1DB8-4C45-813B-5A8065DFC797}" showPageBreaks="1" zeroValues="0" printArea="1" view="pageBreakPreview">
      <selection activeCell="I8" sqref="I8"/>
      <pageMargins left="0.45" right="0.45" top="0.5" bottom="0.5" header="0.3" footer="0.3"/>
      <printOptions horizontalCentered="1"/>
      <pageSetup scale="75" orientation="portrait" blackAndWhite="1" r:id="rId1"/>
    </customSheetView>
  </customSheetViews>
  <mergeCells count="56">
    <mergeCell ref="AB83:AC83"/>
    <mergeCell ref="AB84:AC84"/>
    <mergeCell ref="AB85:AC85"/>
    <mergeCell ref="AB86:AC86"/>
    <mergeCell ref="B36:L38"/>
    <mergeCell ref="AB77:AC77"/>
    <mergeCell ref="AB78:AC78"/>
    <mergeCell ref="AB79:AC79"/>
    <mergeCell ref="AB80:AC80"/>
    <mergeCell ref="AB81:AC81"/>
    <mergeCell ref="AB82:AC82"/>
    <mergeCell ref="A50:S50"/>
    <mergeCell ref="A51:G51"/>
    <mergeCell ref="H51:I51"/>
    <mergeCell ref="O51:P51"/>
    <mergeCell ref="A54:S54"/>
    <mergeCell ref="A53:S53"/>
    <mergeCell ref="B48:C48"/>
    <mergeCell ref="F48:G48"/>
    <mergeCell ref="J48:K48"/>
    <mergeCell ref="P48:Q48"/>
    <mergeCell ref="M48:N48"/>
    <mergeCell ref="N43:O43"/>
    <mergeCell ref="B32:J32"/>
    <mergeCell ref="K32:L32"/>
    <mergeCell ref="E34:F34"/>
    <mergeCell ref="G34:J34"/>
    <mergeCell ref="B39:C39"/>
    <mergeCell ref="H39:I39"/>
    <mergeCell ref="B41:S41"/>
    <mergeCell ref="B42:E42"/>
    <mergeCell ref="B43:C43"/>
    <mergeCell ref="H43:I43"/>
    <mergeCell ref="K27:L27"/>
    <mergeCell ref="K2:L2"/>
    <mergeCell ref="F28:G28"/>
    <mergeCell ref="F30:G30"/>
    <mergeCell ref="B15:H15"/>
    <mergeCell ref="B17:E17"/>
    <mergeCell ref="F17:G17"/>
    <mergeCell ref="B19:E19"/>
    <mergeCell ref="F19:G19"/>
    <mergeCell ref="H19:N19"/>
    <mergeCell ref="K10:P10"/>
    <mergeCell ref="I4:L4"/>
    <mergeCell ref="B28:E28"/>
    <mergeCell ref="B30:E30"/>
    <mergeCell ref="B14:E14"/>
    <mergeCell ref="F14:G14"/>
    <mergeCell ref="E1:N1"/>
    <mergeCell ref="B8:H8"/>
    <mergeCell ref="A12:S12"/>
    <mergeCell ref="I2:J2"/>
    <mergeCell ref="B4:H4"/>
    <mergeCell ref="K6:L6"/>
    <mergeCell ref="K8:L8"/>
  </mergeCells>
  <dataValidations count="5">
    <dataValidation type="list" allowBlank="1" showInputMessage="1" showErrorMessage="1" sqref="F17:G17" xr:uid="{00000000-0002-0000-0200-000000000000}">
      <formula1>DistHeadLoss</formula1>
    </dataValidation>
    <dataValidation type="list" allowBlank="1" showInputMessage="1" showErrorMessage="1" sqref="F28:G28" xr:uid="{00000000-0002-0000-0200-000001000000}">
      <formula1>PipeDia</formula1>
    </dataValidation>
    <dataValidation type="decimal" allowBlank="1" showInputMessage="1" showErrorMessage="1" sqref="K6" xr:uid="{00000000-0002-0000-0200-000002000000}">
      <formula1>10</formula1>
      <formula2>45</formula2>
    </dataValidation>
    <dataValidation type="list" allowBlank="1" showInputMessage="1" sqref="K10:P10" xr:uid="{00000000-0002-0000-0200-000003000000}">
      <formula1>PumpTankType</formula1>
    </dataValidation>
    <dataValidation type="list" allowBlank="1" showInputMessage="1" showErrorMessage="1" sqref="I4:L4" xr:uid="{00000000-0002-0000-0200-000004000000}">
      <formula1>Gravity_Or_Pressure</formula1>
    </dataValidation>
  </dataValidations>
  <printOptions horizontalCentered="1"/>
  <pageMargins left="0.45" right="0.45" top="0.5" bottom="0.5" header="0.3" footer="0.3"/>
  <pageSetup scale="75" orientation="portrait" blackAndWhite="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5"/>
  </sheetPr>
  <dimension ref="A1:AV90"/>
  <sheetViews>
    <sheetView showGridLines="0" showZeros="0" showWhiteSpace="0" view="pageBreakPreview" zoomScaleNormal="100" zoomScaleSheetLayoutView="100" workbookViewId="0">
      <selection activeCell="K24" sqref="K24"/>
    </sheetView>
  </sheetViews>
  <sheetFormatPr defaultColWidth="6.42578125" defaultRowHeight="35.1" customHeight="1" x14ac:dyDescent="0.2"/>
  <cols>
    <col min="1" max="1" width="3.42578125" style="19" customWidth="1"/>
    <col min="2" max="4" width="7.42578125" style="19" customWidth="1"/>
    <col min="5" max="6" width="6.7109375" style="19" customWidth="1"/>
    <col min="7" max="16" width="7.42578125" style="19" customWidth="1"/>
    <col min="17" max="20" width="7.42578125" style="20" customWidth="1"/>
    <col min="21" max="34" width="6.42578125" style="19" customWidth="1"/>
    <col min="35" max="16384" width="6.42578125" style="19"/>
  </cols>
  <sheetData>
    <row r="1" spans="1:47" ht="54.95" customHeight="1" thickBot="1" x14ac:dyDescent="0.35">
      <c r="A1" s="522" t="s">
        <v>638</v>
      </c>
      <c r="B1" s="522"/>
      <c r="C1" s="522"/>
      <c r="D1" s="522"/>
      <c r="E1" s="522"/>
      <c r="F1" s="522"/>
      <c r="G1" s="522"/>
      <c r="H1" s="522"/>
      <c r="I1" s="522"/>
      <c r="J1" s="522"/>
      <c r="K1" s="522"/>
      <c r="L1" s="522"/>
      <c r="M1" s="522"/>
      <c r="N1" s="522"/>
      <c r="O1" s="522"/>
      <c r="P1" s="522"/>
      <c r="Q1" s="522"/>
      <c r="R1" s="522"/>
      <c r="S1" s="522"/>
      <c r="T1" s="522"/>
      <c r="V1" s="279"/>
      <c r="W1" s="414"/>
      <c r="X1" s="411"/>
      <c r="Y1" s="411"/>
      <c r="Z1" s="411"/>
      <c r="AA1" s="411"/>
      <c r="AB1" s="411"/>
      <c r="AC1" s="411"/>
      <c r="AD1" s="412"/>
      <c r="AE1" s="412"/>
      <c r="AF1" s="413"/>
      <c r="AG1" s="413"/>
      <c r="AH1" s="279"/>
      <c r="AI1" s="279"/>
      <c r="AJ1" s="279"/>
      <c r="AK1" s="279"/>
      <c r="AL1" s="279"/>
      <c r="AM1" s="279"/>
      <c r="AN1" s="279"/>
      <c r="AO1" s="280"/>
    </row>
    <row r="2" spans="1:47" ht="24" customHeight="1" x14ac:dyDescent="0.2">
      <c r="A2" s="295"/>
      <c r="B2" s="524" t="s">
        <v>438</v>
      </c>
      <c r="C2" s="524"/>
      <c r="D2" s="524"/>
      <c r="E2" s="524"/>
      <c r="F2" s="524"/>
      <c r="G2" s="524"/>
      <c r="H2" s="524"/>
      <c r="I2" s="524"/>
      <c r="J2" s="524"/>
      <c r="K2" s="524"/>
      <c r="L2" s="523" t="s">
        <v>431</v>
      </c>
      <c r="M2" s="523"/>
      <c r="N2" s="525" t="e">
        <f>IF(ISBLANK(#REF!)," ",#REF!)</f>
        <v>#REF!</v>
      </c>
      <c r="O2" s="525"/>
      <c r="P2" s="351"/>
      <c r="Q2" s="351"/>
      <c r="R2" s="351"/>
      <c r="S2" s="351"/>
      <c r="T2" s="296" t="str">
        <f>'Drop-Down Lists'!J40</f>
        <v>v 9.9.2021</v>
      </c>
      <c r="V2" s="278"/>
      <c r="W2" s="279" t="s">
        <v>455</v>
      </c>
      <c r="X2" s="10"/>
      <c r="Y2" s="10"/>
      <c r="Z2" s="10"/>
      <c r="AA2" s="10"/>
      <c r="AB2" s="10"/>
      <c r="AC2" s="10"/>
      <c r="AD2" s="10"/>
      <c r="AE2" s="10"/>
      <c r="AF2" s="10"/>
      <c r="AG2" s="10"/>
      <c r="AH2" s="49"/>
      <c r="AI2" s="49"/>
      <c r="AJ2" s="49"/>
      <c r="AK2" s="49"/>
      <c r="AL2" s="49"/>
      <c r="AM2" s="49"/>
      <c r="AN2" s="49"/>
      <c r="AO2" s="49"/>
      <c r="AT2" s="23"/>
      <c r="AU2" s="23"/>
    </row>
    <row r="3" spans="1:47" ht="6" customHeight="1" x14ac:dyDescent="0.2">
      <c r="A3" s="297"/>
      <c r="B3" s="90"/>
      <c r="C3" s="90"/>
      <c r="D3" s="90"/>
      <c r="E3" s="90"/>
      <c r="F3" s="90"/>
      <c r="G3" s="90"/>
      <c r="H3" s="90"/>
      <c r="I3" s="90" t="s">
        <v>361</v>
      </c>
      <c r="J3" s="90"/>
      <c r="K3" s="90"/>
      <c r="L3" s="90"/>
      <c r="M3" s="90"/>
      <c r="N3" s="90"/>
      <c r="O3" s="90"/>
      <c r="P3" s="90"/>
      <c r="Q3" s="90"/>
      <c r="R3" s="90"/>
      <c r="S3" s="90"/>
      <c r="T3" s="298"/>
      <c r="AK3" s="10"/>
      <c r="AL3" s="5"/>
      <c r="AM3" s="5"/>
      <c r="AN3" s="5"/>
      <c r="AO3" s="5"/>
      <c r="AT3" s="23"/>
      <c r="AU3" s="23"/>
    </row>
    <row r="4" spans="1:47" ht="24" customHeight="1" x14ac:dyDescent="0.3">
      <c r="A4" s="299" t="s">
        <v>25</v>
      </c>
      <c r="B4" s="189" t="s">
        <v>68</v>
      </c>
      <c r="C4" s="190" t="s">
        <v>355</v>
      </c>
      <c r="D4" s="333"/>
      <c r="E4" s="333"/>
      <c r="F4" s="333"/>
      <c r="G4" s="333"/>
      <c r="H4" s="344"/>
      <c r="I4" s="526"/>
      <c r="J4" s="527"/>
      <c r="K4" s="333" t="s">
        <v>165</v>
      </c>
      <c r="L4" s="345" t="s">
        <v>662</v>
      </c>
      <c r="M4" s="352"/>
      <c r="N4" s="528"/>
      <c r="O4" s="529"/>
      <c r="P4" s="529"/>
      <c r="Q4" s="529"/>
      <c r="R4" s="530"/>
      <c r="S4" s="352"/>
      <c r="T4" s="301"/>
      <c r="V4" s="5" t="s">
        <v>68</v>
      </c>
      <c r="W4" s="10" t="s">
        <v>69</v>
      </c>
      <c r="X4" s="10"/>
      <c r="Y4" s="10"/>
      <c r="Z4" s="10"/>
      <c r="AA4" s="10"/>
      <c r="AB4" s="10"/>
      <c r="AK4" s="10"/>
      <c r="AL4" s="5"/>
      <c r="AM4" s="5"/>
      <c r="AN4" s="5"/>
      <c r="AO4" s="5"/>
      <c r="AT4" s="23"/>
      <c r="AU4" s="23"/>
    </row>
    <row r="5" spans="1:47" ht="6" customHeight="1" x14ac:dyDescent="0.2">
      <c r="A5" s="300"/>
      <c r="B5" s="352"/>
      <c r="C5" s="352"/>
      <c r="D5" s="352"/>
      <c r="E5" s="352"/>
      <c r="F5" s="352"/>
      <c r="G5" s="352"/>
      <c r="H5" s="352"/>
      <c r="I5" s="344"/>
      <c r="J5" s="344"/>
      <c r="K5" s="344"/>
      <c r="L5" s="352"/>
      <c r="M5" s="352"/>
      <c r="N5" s="352"/>
      <c r="O5" s="352"/>
      <c r="P5" s="352"/>
      <c r="Q5" s="352"/>
      <c r="R5" s="352"/>
      <c r="S5" s="352"/>
      <c r="T5" s="301"/>
      <c r="AK5" s="22"/>
      <c r="AL5" s="25"/>
      <c r="AM5" s="25"/>
      <c r="AN5" s="25"/>
      <c r="AO5" s="25"/>
      <c r="AT5" s="23"/>
      <c r="AU5" s="23"/>
    </row>
    <row r="6" spans="1:47" ht="24" customHeight="1" x14ac:dyDescent="0.2">
      <c r="A6" s="300"/>
      <c r="B6" s="338" t="s">
        <v>257</v>
      </c>
      <c r="C6" s="345" t="s">
        <v>537</v>
      </c>
      <c r="D6" s="345"/>
      <c r="E6" s="345"/>
      <c r="F6" s="345"/>
      <c r="G6" s="345"/>
      <c r="H6" s="345"/>
      <c r="I6" s="451"/>
      <c r="J6" s="489"/>
      <c r="K6" s="345" t="s">
        <v>316</v>
      </c>
      <c r="L6" s="345" t="s">
        <v>644</v>
      </c>
      <c r="M6" s="344"/>
      <c r="N6" s="345"/>
      <c r="O6" s="345"/>
      <c r="P6" s="345"/>
      <c r="Q6" s="345"/>
      <c r="R6" s="451"/>
      <c r="S6" s="489"/>
      <c r="T6" s="322" t="s">
        <v>316</v>
      </c>
      <c r="U6" s="22"/>
      <c r="W6" s="552"/>
      <c r="X6" s="553"/>
      <c r="Y6" s="10" t="s">
        <v>29</v>
      </c>
      <c r="Z6" s="73" t="s">
        <v>37</v>
      </c>
      <c r="AA6" s="552"/>
      <c r="AB6" s="553"/>
      <c r="AC6" s="5" t="s">
        <v>29</v>
      </c>
      <c r="AD6" s="73" t="s">
        <v>38</v>
      </c>
      <c r="AE6" s="548" t="str">
        <f>IF(ISBLANK(W6), " ", (W6*AA6))</f>
        <v xml:space="preserve"> </v>
      </c>
      <c r="AF6" s="549"/>
      <c r="AG6" s="10" t="s">
        <v>8</v>
      </c>
      <c r="AK6" s="10"/>
      <c r="AL6" s="5"/>
      <c r="AM6" s="5"/>
      <c r="AN6" s="5"/>
      <c r="AO6" s="5"/>
      <c r="AT6" s="23"/>
      <c r="AU6" s="23"/>
    </row>
    <row r="7" spans="1:47" ht="6" customHeight="1" x14ac:dyDescent="0.2">
      <c r="A7" s="317"/>
      <c r="B7" s="353"/>
      <c r="C7" s="277"/>
      <c r="D7" s="277"/>
      <c r="E7" s="277"/>
      <c r="F7" s="277"/>
      <c r="G7" s="277"/>
      <c r="H7" s="277"/>
      <c r="I7" s="287"/>
      <c r="J7" s="287"/>
      <c r="K7" s="277"/>
      <c r="L7" s="277"/>
      <c r="M7" s="334"/>
      <c r="N7" s="277"/>
      <c r="O7" s="277"/>
      <c r="P7" s="277"/>
      <c r="Q7" s="277"/>
      <c r="R7" s="287"/>
      <c r="S7" s="287"/>
      <c r="T7" s="318"/>
      <c r="U7" s="22"/>
      <c r="AK7" s="10"/>
      <c r="AL7" s="5"/>
      <c r="AM7" s="5"/>
      <c r="AN7" s="5"/>
      <c r="AO7" s="5"/>
      <c r="AT7" s="23"/>
      <c r="AU7" s="23"/>
    </row>
    <row r="8" spans="1:47" ht="6" customHeight="1" x14ac:dyDescent="0.2">
      <c r="A8" s="297"/>
      <c r="B8" s="90"/>
      <c r="C8" s="90"/>
      <c r="D8" s="90"/>
      <c r="E8" s="90"/>
      <c r="F8" s="90"/>
      <c r="G8" s="90"/>
      <c r="H8" s="90"/>
      <c r="I8" s="59"/>
      <c r="J8" s="59"/>
      <c r="K8" s="59"/>
      <c r="L8" s="90"/>
      <c r="M8" s="90"/>
      <c r="N8" s="90"/>
      <c r="O8" s="90"/>
      <c r="P8" s="90"/>
      <c r="Q8" s="90"/>
      <c r="R8" s="90"/>
      <c r="S8" s="90"/>
      <c r="T8" s="298"/>
      <c r="AK8" s="10"/>
      <c r="AL8" s="5"/>
      <c r="AM8" s="5"/>
      <c r="AN8" s="5"/>
      <c r="AO8" s="5"/>
      <c r="AT8" s="23"/>
      <c r="AU8" s="23"/>
    </row>
    <row r="9" spans="1:47" ht="24" customHeight="1" x14ac:dyDescent="0.2">
      <c r="A9" s="302" t="s">
        <v>26</v>
      </c>
      <c r="B9" s="340" t="s">
        <v>68</v>
      </c>
      <c r="C9" s="344" t="s">
        <v>384</v>
      </c>
      <c r="D9" s="48"/>
      <c r="E9" s="338"/>
      <c r="F9" s="451"/>
      <c r="G9" s="537"/>
      <c r="H9" s="537"/>
      <c r="I9" s="537"/>
      <c r="J9" s="489"/>
      <c r="K9" s="340" t="s">
        <v>257</v>
      </c>
      <c r="L9" s="344" t="s">
        <v>385</v>
      </c>
      <c r="M9" s="48"/>
      <c r="N9" s="454"/>
      <c r="O9" s="538"/>
      <c r="P9" s="538"/>
      <c r="Q9" s="538"/>
      <c r="R9" s="455"/>
      <c r="S9" s="340"/>
      <c r="T9" s="303"/>
      <c r="V9" s="5" t="s">
        <v>257</v>
      </c>
      <c r="W9" s="10" t="s">
        <v>265</v>
      </c>
      <c r="X9" s="10"/>
      <c r="Y9" s="10"/>
      <c r="Z9" s="10"/>
      <c r="AA9" s="10"/>
      <c r="AB9" s="10"/>
      <c r="AK9" s="154"/>
      <c r="AL9" s="154"/>
      <c r="AM9" s="154"/>
      <c r="AN9" s="154"/>
      <c r="AO9" s="5"/>
      <c r="AT9" s="23"/>
      <c r="AU9" s="23"/>
    </row>
    <row r="10" spans="1:47" ht="6" customHeight="1" x14ac:dyDescent="0.2">
      <c r="A10" s="304"/>
      <c r="B10" s="340"/>
      <c r="C10" s="344"/>
      <c r="D10" s="48"/>
      <c r="E10" s="338"/>
      <c r="F10" s="46"/>
      <c r="G10" s="46"/>
      <c r="H10" s="69"/>
      <c r="I10" s="345"/>
      <c r="J10" s="338"/>
      <c r="K10" s="46"/>
      <c r="L10" s="46"/>
      <c r="M10" s="340"/>
      <c r="N10" s="192"/>
      <c r="O10" s="192"/>
      <c r="P10" s="136"/>
      <c r="Q10" s="136"/>
      <c r="R10" s="136"/>
      <c r="S10" s="136"/>
      <c r="T10" s="305"/>
      <c r="AK10" s="154"/>
      <c r="AL10" s="154"/>
      <c r="AM10" s="154"/>
      <c r="AN10" s="154"/>
      <c r="AO10" s="5"/>
      <c r="AT10" s="23"/>
      <c r="AU10" s="23"/>
    </row>
    <row r="11" spans="1:47" ht="24" customHeight="1" x14ac:dyDescent="0.2">
      <c r="A11" s="304"/>
      <c r="B11" s="340" t="s">
        <v>70</v>
      </c>
      <c r="C11" s="344" t="s">
        <v>456</v>
      </c>
      <c r="D11" s="344"/>
      <c r="E11" s="344"/>
      <c r="F11" s="344"/>
      <c r="G11" s="344"/>
      <c r="H11" s="344"/>
      <c r="I11" s="451"/>
      <c r="J11" s="452"/>
      <c r="K11" s="344" t="s">
        <v>33</v>
      </c>
      <c r="L11" s="344"/>
      <c r="M11" s="344"/>
      <c r="N11" s="539" t="s">
        <v>457</v>
      </c>
      <c r="O11" s="539"/>
      <c r="P11" s="539"/>
      <c r="Q11" s="539"/>
      <c r="R11" s="539"/>
      <c r="S11" s="539"/>
      <c r="T11" s="540"/>
      <c r="W11" s="10"/>
      <c r="X11" s="73" t="s">
        <v>156</v>
      </c>
      <c r="Y11" s="10"/>
      <c r="Z11" s="550"/>
      <c r="AA11" s="551"/>
      <c r="AB11" s="126">
        <v>2</v>
      </c>
      <c r="AC11" s="10" t="s">
        <v>29</v>
      </c>
      <c r="AD11" s="73" t="s">
        <v>38</v>
      </c>
      <c r="AE11" s="434" t="str">
        <f>IF(ISBLANK(Z11)," ",PI()*Z11*Z11)</f>
        <v xml:space="preserve"> </v>
      </c>
      <c r="AF11" s="435"/>
      <c r="AG11" s="10" t="s">
        <v>8</v>
      </c>
      <c r="AK11" s="10"/>
      <c r="AL11" s="10"/>
      <c r="AM11" s="10"/>
      <c r="AN11" s="10"/>
      <c r="AO11" s="10"/>
      <c r="AT11" s="23"/>
      <c r="AU11" s="23"/>
    </row>
    <row r="12" spans="1:47" ht="6" customHeight="1" x14ac:dyDescent="0.2">
      <c r="A12" s="306"/>
      <c r="B12" s="338"/>
      <c r="C12" s="345"/>
      <c r="D12" s="345"/>
      <c r="E12" s="345"/>
      <c r="F12" s="345"/>
      <c r="G12" s="345"/>
      <c r="H12" s="345"/>
      <c r="I12" s="93"/>
      <c r="J12" s="93"/>
      <c r="K12" s="93"/>
      <c r="L12" s="344"/>
      <c r="M12" s="344"/>
      <c r="N12" s="539"/>
      <c r="O12" s="539"/>
      <c r="P12" s="539"/>
      <c r="Q12" s="539"/>
      <c r="R12" s="539"/>
      <c r="S12" s="539"/>
      <c r="T12" s="540"/>
      <c r="V12" s="278"/>
      <c r="AD12" s="10"/>
      <c r="AE12" s="10"/>
      <c r="AF12" s="10"/>
      <c r="AG12" s="10"/>
      <c r="AH12" s="10"/>
      <c r="AI12" s="10"/>
      <c r="AJ12" s="10"/>
      <c r="AK12" s="25"/>
      <c r="AL12" s="25"/>
      <c r="AM12" s="25"/>
      <c r="AN12" s="25"/>
      <c r="AO12" s="25"/>
      <c r="AT12" s="23"/>
    </row>
    <row r="13" spans="1:47" s="39" customFormat="1" ht="24" customHeight="1" x14ac:dyDescent="0.2">
      <c r="A13" s="306"/>
      <c r="B13" s="338" t="s">
        <v>246</v>
      </c>
      <c r="C13" s="345" t="s">
        <v>441</v>
      </c>
      <c r="D13" s="345"/>
      <c r="E13" s="345"/>
      <c r="F13" s="345"/>
      <c r="G13" s="345"/>
      <c r="H13" s="93"/>
      <c r="I13" s="456"/>
      <c r="J13" s="487"/>
      <c r="K13" s="344" t="s">
        <v>291</v>
      </c>
      <c r="L13" s="345"/>
      <c r="M13" s="345"/>
      <c r="N13" s="539"/>
      <c r="O13" s="539"/>
      <c r="P13" s="539"/>
      <c r="Q13" s="539"/>
      <c r="R13" s="539"/>
      <c r="S13" s="539"/>
      <c r="T13" s="540"/>
      <c r="V13" s="5" t="s">
        <v>70</v>
      </c>
      <c r="W13" s="421" t="s">
        <v>539</v>
      </c>
      <c r="X13" s="421"/>
      <c r="Y13" s="421"/>
      <c r="Z13" s="421"/>
      <c r="AA13" s="421"/>
      <c r="AB13" s="421"/>
      <c r="AC13" s="421"/>
      <c r="AD13" s="421"/>
      <c r="AE13" s="421"/>
      <c r="AF13" s="421"/>
      <c r="AG13" s="421"/>
      <c r="AH13" s="421"/>
      <c r="AI13" s="421"/>
      <c r="AJ13" s="421"/>
      <c r="AK13" s="421"/>
      <c r="AL13" s="22"/>
      <c r="AM13" s="22"/>
      <c r="AN13" s="34"/>
      <c r="AO13" s="10"/>
      <c r="AP13" s="19"/>
      <c r="AQ13" s="19"/>
      <c r="AT13" s="23"/>
    </row>
    <row r="14" spans="1:47" ht="6" customHeight="1" x14ac:dyDescent="0.2">
      <c r="A14" s="191"/>
      <c r="B14" s="344"/>
      <c r="C14" s="344"/>
      <c r="D14" s="344"/>
      <c r="E14" s="344"/>
      <c r="F14" s="344"/>
      <c r="G14" s="344"/>
      <c r="H14" s="344"/>
      <c r="I14" s="344"/>
      <c r="J14" s="344"/>
      <c r="K14" s="344"/>
      <c r="L14" s="344"/>
      <c r="M14" s="344"/>
      <c r="N14" s="539"/>
      <c r="O14" s="539"/>
      <c r="P14" s="539"/>
      <c r="Q14" s="539"/>
      <c r="R14" s="539"/>
      <c r="S14" s="539"/>
      <c r="T14" s="540"/>
      <c r="V14" s="25"/>
      <c r="W14" s="421"/>
      <c r="X14" s="421"/>
      <c r="Y14" s="421"/>
      <c r="Z14" s="421"/>
      <c r="AA14" s="421"/>
      <c r="AB14" s="421"/>
      <c r="AC14" s="421"/>
      <c r="AD14" s="421"/>
      <c r="AE14" s="421"/>
      <c r="AF14" s="421"/>
      <c r="AG14" s="421"/>
      <c r="AH14" s="421"/>
      <c r="AI14" s="421"/>
      <c r="AJ14" s="421"/>
      <c r="AK14" s="421"/>
      <c r="AL14" s="25"/>
      <c r="AM14" s="25"/>
      <c r="AN14" s="25"/>
      <c r="AO14" s="25"/>
      <c r="AT14" s="23"/>
    </row>
    <row r="15" spans="1:47" ht="24" customHeight="1" x14ac:dyDescent="0.2">
      <c r="A15" s="306"/>
      <c r="B15" s="338" t="s">
        <v>247</v>
      </c>
      <c r="C15" s="345" t="s">
        <v>442</v>
      </c>
      <c r="D15" s="345"/>
      <c r="E15" s="345"/>
      <c r="F15" s="345"/>
      <c r="G15" s="345"/>
      <c r="H15" s="93"/>
      <c r="I15" s="456"/>
      <c r="J15" s="487"/>
      <c r="K15" s="344" t="s">
        <v>258</v>
      </c>
      <c r="L15" s="344"/>
      <c r="M15" s="344"/>
      <c r="N15" s="539"/>
      <c r="O15" s="539"/>
      <c r="P15" s="539"/>
      <c r="Q15" s="539"/>
      <c r="R15" s="539"/>
      <c r="S15" s="539"/>
      <c r="T15" s="540"/>
      <c r="V15" s="5"/>
      <c r="W15" s="550"/>
      <c r="X15" s="551"/>
      <c r="Y15" s="5" t="s">
        <v>8</v>
      </c>
      <c r="Z15" s="73" t="s">
        <v>2</v>
      </c>
      <c r="AA15" s="3" t="s">
        <v>538</v>
      </c>
      <c r="AB15" s="72"/>
      <c r="AC15" s="95"/>
      <c r="AD15" s="95"/>
      <c r="AE15" s="73" t="s">
        <v>38</v>
      </c>
      <c r="AF15" s="434" t="str">
        <f>IF(ISBLANK(W15)," ",W15*7.5/12)</f>
        <v xml:space="preserve"> </v>
      </c>
      <c r="AG15" s="435"/>
      <c r="AH15" s="10" t="s">
        <v>291</v>
      </c>
      <c r="AI15" s="10"/>
      <c r="AJ15" s="10"/>
      <c r="AK15" s="5"/>
      <c r="AL15" s="25"/>
      <c r="AM15" s="25"/>
      <c r="AN15" s="25"/>
      <c r="AO15" s="25"/>
      <c r="AT15" s="23"/>
    </row>
    <row r="16" spans="1:47" ht="6" customHeight="1" x14ac:dyDescent="0.2">
      <c r="A16" s="307"/>
      <c r="B16" s="75"/>
      <c r="C16" s="75"/>
      <c r="D16" s="75"/>
      <c r="E16" s="75"/>
      <c r="F16" s="75"/>
      <c r="G16" s="75"/>
      <c r="H16" s="75"/>
      <c r="I16" s="75"/>
      <c r="J16" s="75"/>
      <c r="K16" s="75"/>
      <c r="L16" s="75"/>
      <c r="M16" s="75"/>
      <c r="N16" s="75"/>
      <c r="O16" s="75"/>
      <c r="P16" s="75"/>
      <c r="Q16" s="346"/>
      <c r="R16" s="346"/>
      <c r="S16" s="346"/>
      <c r="T16" s="308"/>
      <c r="V16" s="5"/>
      <c r="W16" s="5"/>
      <c r="AI16" s="10"/>
      <c r="AJ16" s="10"/>
      <c r="AK16" s="10"/>
      <c r="AL16" s="10"/>
      <c r="AM16" s="10"/>
      <c r="AN16" s="10"/>
      <c r="AO16" s="10"/>
      <c r="AT16" s="23"/>
    </row>
    <row r="17" spans="1:46" ht="24" customHeight="1" x14ac:dyDescent="0.2">
      <c r="A17" s="533" t="s">
        <v>439</v>
      </c>
      <c r="B17" s="534"/>
      <c r="C17" s="534"/>
      <c r="D17" s="534"/>
      <c r="E17" s="534"/>
      <c r="F17" s="534"/>
      <c r="G17" s="534"/>
      <c r="H17" s="534"/>
      <c r="I17" s="534"/>
      <c r="J17" s="534"/>
      <c r="K17" s="534"/>
      <c r="L17" s="534"/>
      <c r="M17" s="534"/>
      <c r="N17" s="534"/>
      <c r="O17" s="534"/>
      <c r="P17" s="534"/>
      <c r="Q17" s="534"/>
      <c r="R17" s="534"/>
      <c r="S17" s="534"/>
      <c r="T17" s="535"/>
      <c r="V17" s="5" t="s">
        <v>246</v>
      </c>
      <c r="W17" s="10" t="s">
        <v>249</v>
      </c>
      <c r="X17" s="10"/>
      <c r="Y17" s="10"/>
      <c r="Z17" s="10"/>
      <c r="AA17" s="46"/>
      <c r="AB17" s="46"/>
      <c r="AC17" s="69"/>
      <c r="AD17" s="22"/>
      <c r="AE17" s="25"/>
      <c r="AF17" s="46"/>
      <c r="AG17" s="46"/>
      <c r="AH17" s="5"/>
      <c r="AI17" s="10"/>
      <c r="AJ17" s="10"/>
      <c r="AK17" s="10"/>
      <c r="AL17" s="5"/>
      <c r="AM17" s="5"/>
      <c r="AN17" s="5"/>
      <c r="AO17" s="5"/>
      <c r="AT17" s="23"/>
    </row>
    <row r="18" spans="1:46" ht="18" customHeight="1" x14ac:dyDescent="0.2">
      <c r="A18" s="309">
        <v>3</v>
      </c>
      <c r="B18" s="421" t="s">
        <v>152</v>
      </c>
      <c r="C18" s="421"/>
      <c r="D18" s="421"/>
      <c r="E18" s="421"/>
      <c r="F18" s="421"/>
      <c r="G18" s="421"/>
      <c r="H18" s="421"/>
      <c r="I18" s="421"/>
      <c r="J18" s="421"/>
      <c r="K18" s="421"/>
      <c r="L18" s="421"/>
      <c r="M18" s="421"/>
      <c r="N18" s="421"/>
      <c r="O18" s="421"/>
      <c r="P18" s="421"/>
      <c r="Q18" s="421"/>
      <c r="R18" s="421"/>
      <c r="S18" s="421"/>
      <c r="T18" s="286"/>
      <c r="V18" s="11"/>
      <c r="W18" s="9" t="s">
        <v>250</v>
      </c>
      <c r="X18" s="10"/>
      <c r="Y18" s="10"/>
      <c r="Z18" s="10"/>
      <c r="AA18" s="10"/>
      <c r="AB18" s="10"/>
      <c r="AC18" s="10"/>
      <c r="AD18" s="10"/>
      <c r="AE18" s="10"/>
      <c r="AF18" s="554"/>
      <c r="AG18" s="555"/>
      <c r="AH18" s="10" t="s">
        <v>31</v>
      </c>
      <c r="AT18" s="23"/>
    </row>
    <row r="19" spans="1:46" ht="18" customHeight="1" x14ac:dyDescent="0.2">
      <c r="A19" s="304"/>
      <c r="B19" s="421"/>
      <c r="C19" s="421"/>
      <c r="D19" s="421"/>
      <c r="E19" s="421"/>
      <c r="F19" s="421"/>
      <c r="G19" s="421"/>
      <c r="H19" s="421"/>
      <c r="I19" s="421"/>
      <c r="J19" s="421"/>
      <c r="K19" s="421"/>
      <c r="L19" s="421"/>
      <c r="M19" s="421"/>
      <c r="N19" s="421"/>
      <c r="O19" s="421"/>
      <c r="P19" s="421"/>
      <c r="Q19" s="421"/>
      <c r="R19" s="421"/>
      <c r="S19" s="421"/>
      <c r="T19" s="286"/>
      <c r="V19" s="10"/>
      <c r="W19" s="9" t="s">
        <v>251</v>
      </c>
      <c r="X19" s="10"/>
      <c r="Y19" s="10"/>
      <c r="Z19" s="10"/>
      <c r="AA19" s="10"/>
      <c r="AB19" s="10"/>
      <c r="AC19" s="10"/>
      <c r="AD19" s="5"/>
      <c r="AE19" s="5"/>
      <c r="AF19" s="10"/>
      <c r="AG19" s="10"/>
      <c r="AH19" s="3"/>
      <c r="AI19" s="3"/>
      <c r="AJ19" s="3"/>
      <c r="AT19" s="23"/>
    </row>
    <row r="20" spans="1:46" s="39" customFormat="1" ht="18" customHeight="1" x14ac:dyDescent="0.2">
      <c r="A20" s="304"/>
      <c r="B20" s="344" t="s">
        <v>702</v>
      </c>
      <c r="C20" s="344"/>
      <c r="D20" s="344"/>
      <c r="E20" s="344"/>
      <c r="F20" s="344"/>
      <c r="G20" s="344"/>
      <c r="H20" s="344"/>
      <c r="I20" s="344"/>
      <c r="J20" s="344"/>
      <c r="K20" s="344"/>
      <c r="L20" s="344"/>
      <c r="M20" s="344"/>
      <c r="N20" s="344"/>
      <c r="O20" s="344"/>
      <c r="P20" s="344"/>
      <c r="Q20" s="344"/>
      <c r="R20" s="344"/>
      <c r="S20" s="344"/>
      <c r="T20" s="286"/>
      <c r="V20" s="10"/>
      <c r="W20" s="423" t="str">
        <f>IF(ISBLANK(AF18)," ",(AF18))</f>
        <v xml:space="preserve"> </v>
      </c>
      <c r="X20" s="424"/>
      <c r="Y20" s="5" t="s">
        <v>31</v>
      </c>
      <c r="Z20" s="73" t="s">
        <v>37</v>
      </c>
      <c r="AA20" s="434">
        <f>IF(ISBLANK(AF15),"",MAX(I13,AF15))</f>
        <v>0</v>
      </c>
      <c r="AB20" s="435"/>
      <c r="AC20" s="10" t="s">
        <v>540</v>
      </c>
      <c r="AD20" s="10"/>
      <c r="AE20" s="10"/>
      <c r="AF20" s="434" t="str">
        <f>IF(ISBLANK(AF18)," ",(W20*AA20))</f>
        <v xml:space="preserve"> </v>
      </c>
      <c r="AG20" s="435"/>
      <c r="AH20" s="10" t="s">
        <v>33</v>
      </c>
      <c r="AT20" s="23"/>
    </row>
    <row r="21" spans="1:46" ht="24" customHeight="1" x14ac:dyDescent="0.2">
      <c r="A21" s="191"/>
      <c r="B21" s="337" t="s">
        <v>162</v>
      </c>
      <c r="C21" s="454"/>
      <c r="D21" s="455"/>
      <c r="E21" s="73" t="s">
        <v>266</v>
      </c>
      <c r="F21" s="344" t="s">
        <v>292</v>
      </c>
      <c r="G21" s="344"/>
      <c r="H21" s="434" t="str">
        <f>IF(ISBLANK(C21), " ", MAX(I13,AF15))</f>
        <v xml:space="preserve"> </v>
      </c>
      <c r="I21" s="435"/>
      <c r="J21" s="344" t="s">
        <v>71</v>
      </c>
      <c r="K21" s="344"/>
      <c r="L21" s="344"/>
      <c r="M21" s="73" t="s">
        <v>38</v>
      </c>
      <c r="N21" s="415" t="str">
        <f>IF(ISBLANK(C21)," ",((C21+2)*H21))</f>
        <v xml:space="preserve"> </v>
      </c>
      <c r="O21" s="416"/>
      <c r="P21" s="344" t="s">
        <v>33</v>
      </c>
      <c r="Q21" s="344"/>
      <c r="R21" s="344"/>
      <c r="S21" s="344"/>
      <c r="T21" s="286"/>
      <c r="V21" s="30"/>
      <c r="AI21" s="22"/>
      <c r="AJ21" s="22"/>
      <c r="AT21" s="23"/>
    </row>
    <row r="22" spans="1:46" ht="18" customHeight="1" x14ac:dyDescent="0.2">
      <c r="A22" s="309">
        <v>4</v>
      </c>
      <c r="B22" s="421" t="s">
        <v>668</v>
      </c>
      <c r="C22" s="421"/>
      <c r="D22" s="421"/>
      <c r="E22" s="421"/>
      <c r="F22" s="421"/>
      <c r="G22" s="421"/>
      <c r="H22" s="421"/>
      <c r="I22" s="421"/>
      <c r="J22" s="421"/>
      <c r="K22" s="421"/>
      <c r="L22" s="421"/>
      <c r="M22" s="421"/>
      <c r="N22" s="345"/>
      <c r="O22" s="345"/>
      <c r="P22" s="345"/>
      <c r="Q22" s="340"/>
      <c r="R22" s="340"/>
      <c r="S22" s="340"/>
      <c r="T22" s="303"/>
      <c r="V22" s="11"/>
      <c r="AB22" s="10"/>
      <c r="AC22" s="10"/>
      <c r="AD22" s="10"/>
      <c r="AE22" s="10"/>
      <c r="AF22" s="10"/>
      <c r="AG22" s="10"/>
      <c r="AH22" s="10"/>
      <c r="AI22" s="10"/>
      <c r="AJ22" s="10"/>
      <c r="AT22" s="23"/>
    </row>
    <row r="23" spans="1:46" ht="24" customHeight="1" x14ac:dyDescent="0.2">
      <c r="A23" s="304"/>
      <c r="B23" s="9" t="s">
        <v>648</v>
      </c>
      <c r="C23" s="139"/>
      <c r="D23" s="139"/>
      <c r="E23" s="139"/>
      <c r="F23" s="139"/>
      <c r="G23" s="139"/>
      <c r="H23" s="139"/>
      <c r="I23" s="139"/>
      <c r="J23" s="139"/>
      <c r="K23" s="415" t="str">
        <f>IF(ISBLANK(C21)," ",MAX('Pres. Dist.'!G73))</f>
        <v xml:space="preserve"> </v>
      </c>
      <c r="L23" s="416"/>
      <c r="M23" s="21" t="s">
        <v>664</v>
      </c>
      <c r="N23" s="344"/>
      <c r="O23" s="344"/>
      <c r="P23" s="344"/>
      <c r="Q23" s="556" t="str">
        <f>IF(ISBLANK(C21)," ",(K23/H21))</f>
        <v xml:space="preserve"> </v>
      </c>
      <c r="R23" s="557"/>
      <c r="S23" s="344" t="s">
        <v>666</v>
      </c>
      <c r="T23" s="286"/>
      <c r="V23" s="11"/>
      <c r="W23" s="5"/>
      <c r="AJ23" s="10"/>
      <c r="AT23" s="23"/>
    </row>
    <row r="24" spans="1:46" ht="18" customHeight="1" x14ac:dyDescent="0.2">
      <c r="A24" s="309">
        <v>5</v>
      </c>
      <c r="B24" s="344" t="s">
        <v>667</v>
      </c>
      <c r="C24" s="344"/>
      <c r="D24" s="344"/>
      <c r="E24" s="344"/>
      <c r="F24" s="344"/>
      <c r="G24" s="344"/>
      <c r="H24" s="344"/>
      <c r="I24" s="344"/>
      <c r="J24" s="344"/>
      <c r="K24" s="344"/>
      <c r="L24" s="344"/>
      <c r="M24" s="344"/>
      <c r="N24" s="344"/>
      <c r="O24" s="344"/>
      <c r="P24" s="344"/>
      <c r="Q24" s="344"/>
      <c r="R24" s="344"/>
      <c r="S24" s="344"/>
      <c r="T24" s="286"/>
      <c r="V24" s="11"/>
      <c r="W24" s="5"/>
      <c r="AI24" s="10"/>
      <c r="AJ24" s="10"/>
      <c r="AT24" s="23"/>
    </row>
    <row r="25" spans="1:46" ht="24" customHeight="1" x14ac:dyDescent="0.2">
      <c r="A25" s="310"/>
      <c r="B25" s="344" t="s">
        <v>164</v>
      </c>
      <c r="C25" s="344"/>
      <c r="D25" s="344"/>
      <c r="E25" s="536">
        <f>I4</f>
        <v>0</v>
      </c>
      <c r="F25" s="424"/>
      <c r="G25" s="340" t="s">
        <v>165</v>
      </c>
      <c r="H25" s="73" t="s">
        <v>37</v>
      </c>
      <c r="I25" s="344">
        <v>0.25</v>
      </c>
      <c r="J25" s="348" t="s">
        <v>38</v>
      </c>
      <c r="K25" s="415" t="str">
        <f>IF(ISBLANK(C21)," ",(E25*0.25))</f>
        <v xml:space="preserve"> </v>
      </c>
      <c r="L25" s="416"/>
      <c r="M25" s="21" t="s">
        <v>665</v>
      </c>
      <c r="N25" s="344"/>
      <c r="O25" s="344"/>
      <c r="P25" s="344"/>
      <c r="Q25" s="556" t="str">
        <f>IF(ISBLANK(C21)," ",(K25/H21))</f>
        <v xml:space="preserve"> </v>
      </c>
      <c r="R25" s="557"/>
      <c r="S25" s="344" t="s">
        <v>666</v>
      </c>
      <c r="T25" s="303"/>
      <c r="V25" s="5"/>
      <c r="W25" s="5"/>
      <c r="AJ25" s="10"/>
      <c r="AT25" s="23"/>
    </row>
    <row r="26" spans="1:46" s="39" customFormat="1" ht="6" customHeight="1" x14ac:dyDescent="0.2">
      <c r="A26" s="309"/>
      <c r="B26" s="342"/>
      <c r="C26" s="342"/>
      <c r="D26" s="342"/>
      <c r="E26" s="342"/>
      <c r="F26" s="342"/>
      <c r="G26" s="342"/>
      <c r="H26" s="342"/>
      <c r="I26" s="342"/>
      <c r="J26" s="342"/>
      <c r="K26" s="342"/>
      <c r="L26" s="342"/>
      <c r="M26" s="342"/>
      <c r="N26" s="342"/>
      <c r="O26" s="342"/>
      <c r="P26" s="342"/>
      <c r="Q26" s="344"/>
      <c r="R26" s="344"/>
      <c r="S26" s="344"/>
      <c r="T26" s="286"/>
      <c r="V26" s="5"/>
      <c r="W26" s="5"/>
      <c r="X26" s="12"/>
      <c r="Y26" s="12"/>
      <c r="Z26" s="12"/>
      <c r="AA26" s="12"/>
      <c r="AB26" s="12"/>
      <c r="AC26" s="12"/>
      <c r="AD26" s="12"/>
      <c r="AE26" s="12"/>
      <c r="AF26" s="12"/>
      <c r="AG26" s="10"/>
      <c r="AH26" s="10"/>
      <c r="AI26" s="10"/>
      <c r="AJ26" s="10"/>
      <c r="AT26" s="23"/>
    </row>
    <row r="27" spans="1:46" ht="6" customHeight="1" x14ac:dyDescent="0.2">
      <c r="A27" s="323"/>
      <c r="B27" s="59"/>
      <c r="C27" s="59"/>
      <c r="D27" s="59"/>
      <c r="E27" s="270"/>
      <c r="F27" s="59"/>
      <c r="G27" s="59"/>
      <c r="H27" s="59"/>
      <c r="I27" s="59"/>
      <c r="J27" s="59"/>
      <c r="K27" s="59"/>
      <c r="L27" s="59"/>
      <c r="M27" s="59"/>
      <c r="N27" s="59"/>
      <c r="O27" s="271"/>
      <c r="P27" s="59"/>
      <c r="Q27" s="59"/>
      <c r="R27" s="59"/>
      <c r="S27" s="59"/>
      <c r="T27" s="314"/>
      <c r="AT27" s="23"/>
    </row>
    <row r="28" spans="1:46" ht="24" customHeight="1" x14ac:dyDescent="0.2">
      <c r="A28" s="309">
        <v>6</v>
      </c>
      <c r="B28" s="460" t="s">
        <v>544</v>
      </c>
      <c r="C28" s="460"/>
      <c r="D28" s="460"/>
      <c r="E28" s="460"/>
      <c r="F28" s="460"/>
      <c r="G28" s="460"/>
      <c r="H28" s="460"/>
      <c r="I28" s="460"/>
      <c r="J28" s="460"/>
      <c r="K28" s="454"/>
      <c r="L28" s="455"/>
      <c r="M28" s="344" t="s">
        <v>33</v>
      </c>
      <c r="N28" s="344"/>
      <c r="O28" s="344"/>
      <c r="P28" s="357"/>
      <c r="Q28" s="558"/>
      <c r="R28" s="558"/>
      <c r="S28" s="356"/>
      <c r="T28" s="286"/>
      <c r="AT28" s="23"/>
    </row>
    <row r="29" spans="1:46" ht="18" customHeight="1" x14ac:dyDescent="0.2">
      <c r="A29" s="309">
        <v>7</v>
      </c>
      <c r="B29" s="344" t="s">
        <v>530</v>
      </c>
      <c r="C29" s="344"/>
      <c r="D29" s="344"/>
      <c r="E29" s="344"/>
      <c r="F29" s="344"/>
      <c r="G29" s="344"/>
      <c r="H29" s="344"/>
      <c r="I29" s="344"/>
      <c r="J29" s="344"/>
      <c r="K29" s="344"/>
      <c r="L29" s="344"/>
      <c r="M29" s="344"/>
      <c r="N29" s="344"/>
      <c r="O29" s="344"/>
      <c r="P29" s="344"/>
      <c r="Q29" s="344"/>
      <c r="R29" s="344"/>
      <c r="S29" s="344"/>
      <c r="T29" s="303"/>
      <c r="AT29" s="23"/>
    </row>
    <row r="30" spans="1:46" ht="24" customHeight="1" x14ac:dyDescent="0.2">
      <c r="A30" s="310"/>
      <c r="B30" s="345"/>
      <c r="C30" s="423">
        <f>IF(ISBLANK(E25)," ",E25)</f>
        <v>0</v>
      </c>
      <c r="D30" s="424"/>
      <c r="E30" s="531" t="s">
        <v>262</v>
      </c>
      <c r="F30" s="532"/>
      <c r="G30" s="423" t="str">
        <f>IF(ISBLANK(K28)," ",K28)</f>
        <v xml:space="preserve"> </v>
      </c>
      <c r="H30" s="424"/>
      <c r="I30" s="531" t="s">
        <v>541</v>
      </c>
      <c r="J30" s="546"/>
      <c r="K30" s="542" t="str">
        <f>IF(ISBLANK(C21)," ",C30/G30)</f>
        <v xml:space="preserve"> </v>
      </c>
      <c r="L30" s="543"/>
      <c r="M30" s="9" t="s">
        <v>267</v>
      </c>
      <c r="N30" s="345"/>
      <c r="O30" s="320"/>
      <c r="P30" s="320"/>
      <c r="Q30" s="47"/>
      <c r="R30" s="47"/>
      <c r="S30" s="91"/>
      <c r="T30" s="311"/>
      <c r="AT30" s="23"/>
    </row>
    <row r="31" spans="1:46" ht="20.100000000000001" customHeight="1" x14ac:dyDescent="0.2">
      <c r="A31" s="309">
        <v>8</v>
      </c>
      <c r="B31" s="344" t="s">
        <v>3</v>
      </c>
      <c r="C31" s="344"/>
      <c r="D31" s="344"/>
      <c r="E31" s="344"/>
      <c r="F31" s="344"/>
      <c r="G31" s="344"/>
      <c r="H31" s="344"/>
      <c r="I31" s="320"/>
      <c r="J31" s="354"/>
      <c r="K31" s="320"/>
      <c r="L31" s="338"/>
      <c r="M31" s="47"/>
      <c r="N31" s="9"/>
      <c r="O31" s="344"/>
      <c r="P31" s="344"/>
      <c r="Q31" s="344"/>
      <c r="R31" s="344"/>
      <c r="S31" s="344"/>
      <c r="T31" s="286"/>
      <c r="AT31" s="23"/>
    </row>
    <row r="32" spans="1:46" s="39" customFormat="1" ht="24" customHeight="1" x14ac:dyDescent="0.2">
      <c r="A32" s="309"/>
      <c r="B32" s="344" t="s">
        <v>68</v>
      </c>
      <c r="C32" s="9" t="s">
        <v>252</v>
      </c>
      <c r="D32" s="344"/>
      <c r="E32" s="344"/>
      <c r="F32" s="344"/>
      <c r="G32" s="344"/>
      <c r="H32" s="344"/>
      <c r="I32" s="344"/>
      <c r="J32" s="423" t="str">
        <f>IF(ISBLANK(K28),"",('Pump-Basic(1) '!F28))</f>
        <v/>
      </c>
      <c r="K32" s="424"/>
      <c r="L32" s="345" t="s">
        <v>258</v>
      </c>
      <c r="M32" s="344"/>
      <c r="N32" s="344"/>
      <c r="O32" s="344"/>
      <c r="P32" s="344"/>
      <c r="Q32" s="344"/>
      <c r="R32" s="344"/>
      <c r="S32" s="344"/>
      <c r="T32" s="286"/>
      <c r="AT32" s="23"/>
    </row>
    <row r="33" spans="1:46" s="39" customFormat="1" ht="6" customHeight="1" x14ac:dyDescent="0.2">
      <c r="A33" s="310"/>
      <c r="B33" s="345"/>
      <c r="C33" s="339"/>
      <c r="D33" s="345"/>
      <c r="E33" s="345"/>
      <c r="F33" s="345"/>
      <c r="G33" s="345"/>
      <c r="H33" s="320"/>
      <c r="I33" s="320"/>
      <c r="J33" s="352"/>
      <c r="K33" s="345"/>
      <c r="L33" s="345"/>
      <c r="M33" s="345"/>
      <c r="N33" s="345"/>
      <c r="O33" s="345"/>
      <c r="P33" s="345"/>
      <c r="Q33" s="320"/>
      <c r="R33" s="320"/>
      <c r="S33" s="352"/>
      <c r="T33" s="179"/>
      <c r="AT33" s="23"/>
    </row>
    <row r="34" spans="1:46" ht="24" customHeight="1" x14ac:dyDescent="0.2">
      <c r="A34" s="310"/>
      <c r="B34" s="344" t="s">
        <v>257</v>
      </c>
      <c r="C34" s="344" t="s">
        <v>4</v>
      </c>
      <c r="D34" s="344"/>
      <c r="E34" s="344"/>
      <c r="F34" s="344"/>
      <c r="G34" s="344"/>
      <c r="H34" s="344"/>
      <c r="I34" s="344"/>
      <c r="J34" s="415" t="str">
        <f>IF(ISBLANK(K28),"",'Pump-Basic(1) '!F30)</f>
        <v/>
      </c>
      <c r="K34" s="424"/>
      <c r="L34" s="345" t="s">
        <v>256</v>
      </c>
      <c r="M34" s="345"/>
      <c r="N34" s="345"/>
      <c r="O34" s="345"/>
      <c r="P34" s="345"/>
      <c r="Q34" s="320"/>
      <c r="R34" s="320"/>
      <c r="S34" s="352"/>
      <c r="T34" s="179"/>
      <c r="AT34" s="23"/>
    </row>
    <row r="35" spans="1:46" s="39" customFormat="1" ht="6" customHeight="1" x14ac:dyDescent="0.2">
      <c r="A35" s="309"/>
      <c r="B35" s="344"/>
      <c r="C35" s="128"/>
      <c r="D35" s="128"/>
      <c r="E35" s="137"/>
      <c r="F35" s="128"/>
      <c r="G35" s="128"/>
      <c r="H35" s="138"/>
      <c r="I35" s="345"/>
      <c r="J35" s="141"/>
      <c r="K35" s="142"/>
      <c r="L35" s="345"/>
      <c r="M35" s="344"/>
      <c r="N35" s="9"/>
      <c r="O35" s="344"/>
      <c r="P35" s="344"/>
      <c r="Q35" s="344"/>
      <c r="R35" s="344"/>
      <c r="S35" s="344"/>
      <c r="T35" s="286"/>
      <c r="AT35" s="23"/>
    </row>
    <row r="36" spans="1:46" ht="24" customHeight="1" x14ac:dyDescent="0.2">
      <c r="A36" s="309"/>
      <c r="B36" s="344" t="s">
        <v>70</v>
      </c>
      <c r="C36" s="9" t="s">
        <v>253</v>
      </c>
      <c r="D36" s="344"/>
      <c r="E36" s="344"/>
      <c r="F36" s="344"/>
      <c r="G36" s="344"/>
      <c r="H36" s="348"/>
      <c r="I36" s="128"/>
      <c r="J36" s="544" t="str">
        <f>IF(ISBLANK(C21)," ",IF(J32=1,"0.045",IF(J32=1.25,"0.078",IF(J32=1.5,"0.110",IF(J32=2,"0.170",IF(J32=3,"0.380"))))))</f>
        <v xml:space="preserve"> </v>
      </c>
      <c r="K36" s="545"/>
      <c r="L36" s="344" t="s">
        <v>264</v>
      </c>
      <c r="M36" s="47"/>
      <c r="N36" s="9"/>
      <c r="O36" s="344"/>
      <c r="P36" s="344"/>
      <c r="Q36" s="344"/>
      <c r="R36" s="344"/>
      <c r="S36" s="344"/>
      <c r="T36" s="286"/>
      <c r="AT36" s="23"/>
    </row>
    <row r="37" spans="1:46" s="39" customFormat="1" ht="18" customHeight="1" x14ac:dyDescent="0.3">
      <c r="A37" s="309"/>
      <c r="B37" s="344" t="s">
        <v>246</v>
      </c>
      <c r="C37" s="9" t="s">
        <v>254</v>
      </c>
      <c r="D37" s="344"/>
      <c r="E37" s="344"/>
      <c r="F37" s="344"/>
      <c r="G37" s="344"/>
      <c r="H37" s="344"/>
      <c r="I37" s="320"/>
      <c r="J37" s="354"/>
      <c r="K37" s="354"/>
      <c r="L37" s="338"/>
      <c r="M37" s="47"/>
      <c r="N37" s="9"/>
      <c r="O37" s="344"/>
      <c r="P37" s="344"/>
      <c r="Q37" s="344"/>
      <c r="R37" s="344"/>
      <c r="S37" s="344"/>
      <c r="T37" s="286"/>
      <c r="AH37" s="86"/>
      <c r="AI37" s="86"/>
      <c r="AK37" s="8"/>
      <c r="AL37" s="31"/>
      <c r="AT37" s="23"/>
    </row>
    <row r="38" spans="1:46" ht="24" customHeight="1" x14ac:dyDescent="0.2">
      <c r="A38" s="309"/>
      <c r="B38" s="344"/>
      <c r="C38" s="423" t="str">
        <f>IF(ISBLANK(J32),"",J34)</f>
        <v/>
      </c>
      <c r="D38" s="424"/>
      <c r="E38" s="73" t="s">
        <v>54</v>
      </c>
      <c r="F38" s="423" t="str">
        <f>J36</f>
        <v xml:space="preserve"> </v>
      </c>
      <c r="G38" s="424"/>
      <c r="H38" s="348" t="s">
        <v>542</v>
      </c>
      <c r="I38" s="344"/>
      <c r="J38" s="434" t="str">
        <f>IF(ISBLANK(C21),"",C38*F38)</f>
        <v/>
      </c>
      <c r="K38" s="541"/>
      <c r="L38" s="345" t="s">
        <v>33</v>
      </c>
      <c r="M38" s="344"/>
      <c r="N38" s="9"/>
      <c r="O38" s="344"/>
      <c r="P38" s="344"/>
      <c r="Q38" s="344"/>
      <c r="R38" s="344"/>
      <c r="S38" s="344"/>
      <c r="T38" s="286"/>
      <c r="AT38" s="23"/>
    </row>
    <row r="39" spans="1:46" ht="18" customHeight="1" x14ac:dyDescent="0.2">
      <c r="A39" s="309" t="s">
        <v>35</v>
      </c>
      <c r="B39" s="9" t="s">
        <v>531</v>
      </c>
      <c r="C39" s="344"/>
      <c r="D39" s="344"/>
      <c r="E39" s="344"/>
      <c r="F39" s="344"/>
      <c r="G39" s="344"/>
      <c r="H39" s="344"/>
      <c r="I39" s="320"/>
      <c r="J39" s="354"/>
      <c r="K39" s="320"/>
      <c r="L39" s="338"/>
      <c r="M39" s="47"/>
      <c r="N39" s="9"/>
      <c r="O39" s="344"/>
      <c r="P39" s="344"/>
      <c r="Q39" s="344"/>
      <c r="R39" s="344"/>
      <c r="S39" s="344"/>
      <c r="T39" s="286"/>
      <c r="AT39" s="23"/>
    </row>
    <row r="40" spans="1:46" ht="24" customHeight="1" x14ac:dyDescent="0.2">
      <c r="A40" s="309"/>
      <c r="B40" s="344"/>
      <c r="C40" s="423" t="str">
        <f>IF(ISBLANK(K28), " ", K28)</f>
        <v xml:space="preserve"> </v>
      </c>
      <c r="D40" s="424"/>
      <c r="E40" s="73" t="s">
        <v>268</v>
      </c>
      <c r="F40" s="434" t="str">
        <f>J38</f>
        <v/>
      </c>
      <c r="G40" s="424"/>
      <c r="H40" s="73" t="s">
        <v>269</v>
      </c>
      <c r="I40" s="415" t="str">
        <f>IF(ISBLANK(C21),"",C40+F40)</f>
        <v/>
      </c>
      <c r="J40" s="416"/>
      <c r="K40" s="345" t="s">
        <v>33</v>
      </c>
      <c r="L40" s="338"/>
      <c r="M40" s="47"/>
      <c r="N40" s="9"/>
      <c r="O40" s="344"/>
      <c r="P40" s="344"/>
      <c r="Q40" s="344"/>
      <c r="R40" s="344"/>
      <c r="S40" s="344"/>
      <c r="T40" s="286"/>
      <c r="AT40" s="23"/>
    </row>
    <row r="41" spans="1:46" ht="18" customHeight="1" x14ac:dyDescent="0.3">
      <c r="A41" s="310" t="s">
        <v>39</v>
      </c>
      <c r="B41" s="345" t="s">
        <v>440</v>
      </c>
      <c r="C41" s="99"/>
      <c r="D41" s="99"/>
      <c r="E41" s="137"/>
      <c r="F41" s="93"/>
      <c r="G41" s="99"/>
      <c r="H41" s="137"/>
      <c r="I41" s="93"/>
      <c r="J41" s="93"/>
      <c r="K41" s="345"/>
      <c r="L41" s="338"/>
      <c r="M41" s="47"/>
      <c r="N41" s="339"/>
      <c r="O41" s="345"/>
      <c r="P41" s="345"/>
      <c r="Q41" s="345"/>
      <c r="R41" s="345"/>
      <c r="S41" s="345"/>
      <c r="T41" s="179"/>
      <c r="AH41" s="14"/>
      <c r="AI41" s="14"/>
      <c r="AK41" s="8"/>
      <c r="AL41" s="8"/>
      <c r="AT41" s="23"/>
    </row>
    <row r="42" spans="1:46" ht="24" customHeight="1" x14ac:dyDescent="0.3">
      <c r="A42" s="310"/>
      <c r="B42" s="345"/>
      <c r="C42" s="454"/>
      <c r="D42" s="455"/>
      <c r="E42" s="348" t="s">
        <v>158</v>
      </c>
      <c r="F42" s="434" t="str">
        <f>IF(ISBLANK(C21), " ", MAX(I13,AF15))</f>
        <v xml:space="preserve"> </v>
      </c>
      <c r="G42" s="477"/>
      <c r="H42" s="348" t="s">
        <v>543</v>
      </c>
      <c r="I42" s="345"/>
      <c r="J42" s="434" t="str">
        <f>IF(ISBLANK(C42), "",C42*F42)</f>
        <v/>
      </c>
      <c r="K42" s="477"/>
      <c r="L42" s="345" t="s">
        <v>33</v>
      </c>
      <c r="M42" s="345"/>
      <c r="N42" s="345"/>
      <c r="O42" s="345"/>
      <c r="P42" s="345"/>
      <c r="Q42" s="345"/>
      <c r="R42" s="345"/>
      <c r="S42" s="345"/>
      <c r="T42" s="179"/>
      <c r="AH42" s="14"/>
      <c r="AI42" s="14"/>
      <c r="AK42" s="8"/>
      <c r="AL42" s="8"/>
      <c r="AT42" s="23"/>
    </row>
    <row r="43" spans="1:46" s="39" customFormat="1" ht="6" customHeight="1" x14ac:dyDescent="0.3">
      <c r="A43" s="312"/>
      <c r="B43" s="87"/>
      <c r="C43" s="114"/>
      <c r="D43" s="114"/>
      <c r="E43" s="272"/>
      <c r="F43" s="273"/>
      <c r="G43" s="114"/>
      <c r="H43" s="272"/>
      <c r="I43" s="273"/>
      <c r="J43" s="273"/>
      <c r="K43" s="87"/>
      <c r="L43" s="294"/>
      <c r="M43" s="274"/>
      <c r="N43" s="275"/>
      <c r="O43" s="87"/>
      <c r="P43" s="87"/>
      <c r="Q43" s="87"/>
      <c r="R43" s="87"/>
      <c r="S43" s="87"/>
      <c r="T43" s="313"/>
      <c r="AH43" s="86"/>
      <c r="AI43" s="86"/>
      <c r="AK43" s="8"/>
      <c r="AL43" s="31"/>
      <c r="AT43" s="23"/>
    </row>
    <row r="44" spans="1:46" s="39" customFormat="1" ht="24" customHeight="1" x14ac:dyDescent="0.3">
      <c r="A44" s="349" t="s">
        <v>587</v>
      </c>
      <c r="B44" s="347"/>
      <c r="C44" s="347"/>
      <c r="D44" s="347"/>
      <c r="E44" s="347"/>
      <c r="F44" s="347"/>
      <c r="G44" s="347"/>
      <c r="H44" s="347"/>
      <c r="I44" s="347"/>
      <c r="J44" s="347"/>
      <c r="K44" s="347"/>
      <c r="L44" s="347"/>
      <c r="M44" s="347"/>
      <c r="N44" s="347"/>
      <c r="O44" s="347"/>
      <c r="P44" s="347"/>
      <c r="Q44" s="347"/>
      <c r="R44" s="347"/>
      <c r="S44" s="347"/>
      <c r="T44" s="350"/>
      <c r="AH44" s="86"/>
      <c r="AI44" s="86"/>
      <c r="AK44" s="8"/>
      <c r="AL44" s="31"/>
      <c r="AT44" s="23"/>
    </row>
    <row r="45" spans="1:46" s="39" customFormat="1" ht="20.100000000000001" customHeight="1" x14ac:dyDescent="0.3">
      <c r="A45" s="309" t="s">
        <v>41</v>
      </c>
      <c r="B45" s="344" t="s">
        <v>255</v>
      </c>
      <c r="C45" s="344"/>
      <c r="D45" s="344"/>
      <c r="E45" s="344"/>
      <c r="F45" s="344"/>
      <c r="G45" s="344"/>
      <c r="H45" s="344"/>
      <c r="I45" s="344"/>
      <c r="J45" s="344"/>
      <c r="K45" s="344"/>
      <c r="L45" s="344"/>
      <c r="M45" s="344"/>
      <c r="N45" s="344"/>
      <c r="O45" s="344"/>
      <c r="P45" s="344"/>
      <c r="Q45" s="340"/>
      <c r="R45" s="340"/>
      <c r="S45" s="340"/>
      <c r="T45" s="303"/>
      <c r="AH45" s="86"/>
      <c r="AI45" s="86"/>
      <c r="AK45" s="31"/>
      <c r="AL45" s="31"/>
      <c r="AT45" s="23"/>
    </row>
    <row r="46" spans="1:46" s="10" customFormat="1" ht="18" customHeight="1" x14ac:dyDescent="0.2">
      <c r="A46" s="304"/>
      <c r="B46" s="9" t="s">
        <v>443</v>
      </c>
      <c r="C46" s="344"/>
      <c r="D46" s="344"/>
      <c r="E46" s="344"/>
      <c r="F46" s="344"/>
      <c r="G46" s="344"/>
      <c r="H46" s="344"/>
      <c r="I46" s="344"/>
      <c r="J46" s="344"/>
      <c r="K46" s="344"/>
      <c r="L46" s="344"/>
      <c r="M46" s="344"/>
      <c r="N46" s="344"/>
      <c r="O46" s="344"/>
      <c r="P46" s="344"/>
      <c r="Q46" s="340"/>
      <c r="R46" s="340"/>
      <c r="S46" s="340"/>
      <c r="T46" s="303"/>
    </row>
    <row r="47" spans="1:46" ht="24" customHeight="1" x14ac:dyDescent="0.2">
      <c r="A47" s="304"/>
      <c r="B47" s="345"/>
      <c r="C47" s="415" t="str">
        <f>I40</f>
        <v/>
      </c>
      <c r="D47" s="416"/>
      <c r="E47" s="531" t="s">
        <v>545</v>
      </c>
      <c r="F47" s="532"/>
      <c r="G47" s="434">
        <f>I13</f>
        <v>0</v>
      </c>
      <c r="H47" s="435"/>
      <c r="I47" s="418" t="s">
        <v>136</v>
      </c>
      <c r="J47" s="418"/>
      <c r="K47" s="434" t="str">
        <f>IF(ISBLANK(C21),"",C47/G47)</f>
        <v/>
      </c>
      <c r="L47" s="435"/>
      <c r="M47" s="344" t="s">
        <v>66</v>
      </c>
      <c r="N47" s="344"/>
      <c r="O47" s="344"/>
      <c r="P47" s="344"/>
      <c r="Q47" s="340"/>
      <c r="R47" s="340"/>
      <c r="S47" s="340"/>
      <c r="T47" s="179"/>
    </row>
    <row r="48" spans="1:46" ht="20.100000000000001" customHeight="1" x14ac:dyDescent="0.3">
      <c r="A48" s="309" t="s">
        <v>44</v>
      </c>
      <c r="B48" s="88" t="s">
        <v>166</v>
      </c>
      <c r="C48" s="44"/>
      <c r="D48" s="44"/>
      <c r="E48" s="343"/>
      <c r="F48" s="89"/>
      <c r="G48" s="44"/>
      <c r="H48" s="340"/>
      <c r="I48" s="40"/>
      <c r="J48" s="344"/>
      <c r="K48" s="344"/>
      <c r="L48" s="344"/>
      <c r="M48" s="344"/>
      <c r="O48" s="344"/>
      <c r="R48" s="344"/>
      <c r="S48" s="344"/>
      <c r="T48" s="286"/>
      <c r="AL48" s="8"/>
      <c r="AT48" s="23"/>
    </row>
    <row r="49" spans="1:48" ht="18" customHeight="1" thickBot="1" x14ac:dyDescent="0.35">
      <c r="A49" s="304" t="s">
        <v>68</v>
      </c>
      <c r="B49" s="9" t="s">
        <v>532</v>
      </c>
      <c r="C49" s="342"/>
      <c r="D49" s="342"/>
      <c r="E49" s="342"/>
      <c r="F49" s="342"/>
      <c r="G49" s="342"/>
      <c r="H49" s="342"/>
      <c r="I49" s="342"/>
      <c r="J49" s="342"/>
      <c r="K49" s="342"/>
      <c r="L49" s="334"/>
      <c r="M49" s="344"/>
      <c r="N49" s="345" t="s">
        <v>513</v>
      </c>
      <c r="O49" s="345"/>
      <c r="P49" s="403" t="str">
        <f>K47</f>
        <v/>
      </c>
      <c r="Q49" s="344" t="s">
        <v>31</v>
      </c>
      <c r="R49" s="340"/>
      <c r="S49" s="344"/>
      <c r="T49" s="286"/>
      <c r="AG49" s="8"/>
      <c r="AH49" s="14"/>
      <c r="AI49" s="14"/>
    </row>
    <row r="50" spans="1:48" s="39" customFormat="1" ht="24" customHeight="1" thickBot="1" x14ac:dyDescent="0.35">
      <c r="A50" s="304"/>
      <c r="B50" s="344"/>
      <c r="C50" s="423">
        <f>C21</f>
        <v>0</v>
      </c>
      <c r="D50" s="424"/>
      <c r="E50" s="531" t="s">
        <v>641</v>
      </c>
      <c r="F50" s="532"/>
      <c r="G50" s="415" t="str">
        <f>IF(ISBLANK(C42), "",C50+2)</f>
        <v/>
      </c>
      <c r="H50" s="416"/>
      <c r="I50" s="344" t="s">
        <v>66</v>
      </c>
      <c r="J50" s="345"/>
      <c r="K50" s="345"/>
      <c r="L50" s="345"/>
      <c r="M50" s="340"/>
      <c r="N50" s="37" t="s">
        <v>7</v>
      </c>
      <c r="O50" s="37"/>
      <c r="P50" s="404" t="str">
        <f>J54</f>
        <v/>
      </c>
      <c r="Q50" s="195" t="s">
        <v>31</v>
      </c>
      <c r="R50" s="340"/>
      <c r="S50" s="344"/>
      <c r="T50" s="286"/>
      <c r="AG50" s="31"/>
      <c r="AH50" s="86"/>
      <c r="AI50" s="86"/>
    </row>
    <row r="51" spans="1:48" ht="18" customHeight="1" thickBot="1" x14ac:dyDescent="0.25">
      <c r="A51" s="304" t="s">
        <v>257</v>
      </c>
      <c r="B51" s="7" t="s">
        <v>444</v>
      </c>
      <c r="C51" s="341"/>
      <c r="D51" s="341"/>
      <c r="E51" s="341"/>
      <c r="F51" s="341"/>
      <c r="G51" s="341"/>
      <c r="H51" s="341"/>
      <c r="I51" s="341"/>
      <c r="J51" s="341"/>
      <c r="K51" s="341"/>
      <c r="L51" s="335"/>
      <c r="M51" s="335"/>
      <c r="N51" s="344" t="s">
        <v>5</v>
      </c>
      <c r="O51" s="344"/>
      <c r="P51" s="405" t="str">
        <f>J52</f>
        <v/>
      </c>
      <c r="Q51" s="344" t="s">
        <v>31</v>
      </c>
      <c r="R51" s="406" t="str">
        <f>J42</f>
        <v/>
      </c>
      <c r="S51" s="194" t="str">
        <f>"Gal"</f>
        <v>Gal</v>
      </c>
      <c r="T51" s="336"/>
    </row>
    <row r="52" spans="1:48" ht="24" customHeight="1" thickBot="1" x14ac:dyDescent="0.25">
      <c r="A52" s="315"/>
      <c r="B52" s="344"/>
      <c r="C52" s="415" t="str">
        <f>G50</f>
        <v/>
      </c>
      <c r="D52" s="424"/>
      <c r="E52" s="73" t="s">
        <v>137</v>
      </c>
      <c r="F52" s="344"/>
      <c r="G52" s="434" t="str">
        <f>K47</f>
        <v/>
      </c>
      <c r="H52" s="424"/>
      <c r="I52" s="73" t="s">
        <v>138</v>
      </c>
      <c r="J52" s="415" t="str">
        <f>IF(ISBLANK(C21),"",C52+G52)</f>
        <v/>
      </c>
      <c r="K52" s="416"/>
      <c r="L52" s="344" t="s">
        <v>66</v>
      </c>
      <c r="M52" s="344"/>
      <c r="N52" s="344" t="s">
        <v>6</v>
      </c>
      <c r="O52" s="344"/>
      <c r="P52" s="405" t="str">
        <f>G50</f>
        <v/>
      </c>
      <c r="Q52" s="344" t="s">
        <v>31</v>
      </c>
      <c r="R52" s="407" t="str">
        <f>C47</f>
        <v/>
      </c>
      <c r="S52" s="194" t="str">
        <f>"Gal"</f>
        <v>Gal</v>
      </c>
      <c r="T52" s="286"/>
    </row>
    <row r="53" spans="1:48" ht="18" customHeight="1" x14ac:dyDescent="0.2">
      <c r="A53" s="304" t="s">
        <v>70</v>
      </c>
      <c r="B53" s="9" t="s">
        <v>445</v>
      </c>
      <c r="C53" s="342"/>
      <c r="D53" s="342"/>
      <c r="E53" s="342"/>
      <c r="F53" s="342"/>
      <c r="G53" s="342"/>
      <c r="H53" s="342"/>
      <c r="I53" s="342"/>
      <c r="J53" s="342"/>
      <c r="K53" s="342"/>
      <c r="L53" s="344"/>
      <c r="M53" s="344"/>
      <c r="N53" s="344"/>
      <c r="O53" s="344"/>
      <c r="P53" s="344"/>
      <c r="R53" s="408" t="str">
        <f>N21</f>
        <v xml:space="preserve"> </v>
      </c>
      <c r="S53" s="194" t="str">
        <f>"Gal"</f>
        <v>Gal</v>
      </c>
      <c r="T53" s="286"/>
    </row>
    <row r="54" spans="1:48" ht="24" customHeight="1" x14ac:dyDescent="0.2">
      <c r="A54" s="304"/>
      <c r="B54" s="344"/>
      <c r="C54" s="415" t="str">
        <f>J52</f>
        <v/>
      </c>
      <c r="D54" s="416"/>
      <c r="E54" s="73" t="s">
        <v>137</v>
      </c>
      <c r="F54" s="344"/>
      <c r="G54" s="434">
        <f>C42</f>
        <v>0</v>
      </c>
      <c r="H54" s="435"/>
      <c r="I54" s="130" t="s">
        <v>139</v>
      </c>
      <c r="J54" s="415" t="str">
        <f>IF(ISBLANK(C21),"",C54+G54)</f>
        <v/>
      </c>
      <c r="K54" s="416"/>
      <c r="L54" s="344" t="s">
        <v>66</v>
      </c>
      <c r="M54" s="344"/>
      <c r="N54" s="344"/>
      <c r="O54" s="344"/>
      <c r="P54" s="344"/>
      <c r="Q54" s="344"/>
      <c r="R54" s="344"/>
      <c r="S54" s="344"/>
      <c r="T54" s="286"/>
    </row>
    <row r="55" spans="1:48" ht="6" customHeight="1" thickBot="1" x14ac:dyDescent="0.25">
      <c r="A55" s="324"/>
      <c r="B55" s="325"/>
      <c r="C55" s="325"/>
      <c r="D55" s="326"/>
      <c r="E55" s="327"/>
      <c r="F55" s="327"/>
      <c r="G55" s="328"/>
      <c r="H55" s="325"/>
      <c r="I55" s="284"/>
      <c r="J55" s="284"/>
      <c r="K55" s="284"/>
      <c r="L55" s="284"/>
      <c r="M55" s="284"/>
      <c r="N55" s="284"/>
      <c r="O55" s="284"/>
      <c r="P55" s="284"/>
      <c r="Q55" s="284"/>
      <c r="R55" s="284"/>
      <c r="S55" s="284"/>
      <c r="T55" s="316"/>
    </row>
    <row r="56" spans="1:48" ht="6" customHeight="1" x14ac:dyDescent="0.2"/>
    <row r="57" spans="1:48" ht="18" customHeight="1" x14ac:dyDescent="0.3">
      <c r="K57" s="2"/>
      <c r="L57" s="17"/>
      <c r="M57" s="2"/>
      <c r="N57" s="2"/>
      <c r="O57" s="2"/>
      <c r="P57" s="2"/>
      <c r="Q57" s="2"/>
    </row>
    <row r="58" spans="1:48" s="22" customFormat="1" ht="18" customHeight="1" x14ac:dyDescent="0.2">
      <c r="A58" s="19"/>
      <c r="B58" s="19"/>
      <c r="C58" s="19"/>
      <c r="D58" s="19"/>
      <c r="E58" s="19"/>
      <c r="F58" s="19"/>
      <c r="G58" s="19"/>
      <c r="H58" s="19"/>
      <c r="I58" s="19"/>
      <c r="J58" s="19"/>
      <c r="K58" s="16"/>
      <c r="L58" s="16"/>
      <c r="M58" s="16"/>
      <c r="N58" s="16"/>
      <c r="O58" s="27"/>
      <c r="P58" s="19"/>
      <c r="Q58" s="16"/>
      <c r="R58" s="20"/>
      <c r="S58" s="20"/>
      <c r="T58" s="20"/>
    </row>
    <row r="59" spans="1:48" s="22" customFormat="1" ht="18" customHeight="1" x14ac:dyDescent="0.2">
      <c r="A59" s="19"/>
      <c r="B59" s="19"/>
      <c r="C59" s="19"/>
      <c r="D59" s="19"/>
      <c r="E59" s="19"/>
      <c r="F59" s="19"/>
      <c r="G59" s="19"/>
      <c r="H59" s="19"/>
      <c r="I59" s="19"/>
      <c r="J59" s="19"/>
      <c r="K59" s="19"/>
      <c r="L59" s="19"/>
      <c r="M59" s="19"/>
      <c r="N59" s="19"/>
      <c r="O59" s="19"/>
      <c r="P59" s="19"/>
      <c r="Q59" s="20"/>
      <c r="R59" s="20"/>
      <c r="S59" s="20"/>
      <c r="T59" s="20"/>
    </row>
    <row r="60" spans="1:48" s="22" customFormat="1" ht="20.100000000000001" customHeight="1" x14ac:dyDescent="0.2">
      <c r="A60" s="19"/>
      <c r="B60" s="19"/>
      <c r="C60" s="19"/>
      <c r="D60" s="19"/>
      <c r="E60" s="19"/>
      <c r="F60" s="19"/>
      <c r="G60" s="19"/>
      <c r="H60" s="19"/>
      <c r="I60" s="19"/>
      <c r="J60" s="19"/>
      <c r="K60" s="19"/>
      <c r="L60" s="19"/>
      <c r="M60" s="19"/>
      <c r="N60" s="19"/>
      <c r="O60" s="19"/>
      <c r="P60" s="19"/>
      <c r="Q60" s="20"/>
      <c r="R60" s="20"/>
      <c r="S60" s="20"/>
      <c r="T60" s="20"/>
      <c r="AU60" s="547" t="str">
        <f>IF(ISBLANK(C21),"",(G50*H21))</f>
        <v/>
      </c>
      <c r="AV60" s="547"/>
    </row>
    <row r="61" spans="1:48" s="22" customFormat="1" ht="18" customHeight="1" x14ac:dyDescent="0.3">
      <c r="A61" s="17"/>
      <c r="B61" s="17"/>
      <c r="C61" s="18"/>
      <c r="D61" s="17"/>
      <c r="E61" s="2"/>
      <c r="F61" s="17"/>
      <c r="G61" s="17"/>
      <c r="H61" s="2"/>
      <c r="I61" s="17"/>
      <c r="J61" s="17"/>
      <c r="K61" s="19"/>
      <c r="L61" s="19"/>
      <c r="M61" s="19"/>
      <c r="N61" s="19"/>
      <c r="O61" s="19"/>
      <c r="P61" s="19"/>
      <c r="Q61" s="20"/>
      <c r="R61" s="2"/>
      <c r="S61" s="2"/>
      <c r="T61" s="2"/>
    </row>
    <row r="62" spans="1:48" ht="18" customHeight="1" x14ac:dyDescent="0.3">
      <c r="A62" s="2"/>
      <c r="B62" s="2"/>
      <c r="D62" s="5"/>
      <c r="E62" s="5"/>
      <c r="F62" s="5"/>
      <c r="G62" s="5"/>
      <c r="H62" s="5"/>
      <c r="I62" s="3"/>
      <c r="R62" s="16"/>
      <c r="S62" s="16"/>
      <c r="T62" s="16"/>
    </row>
    <row r="63" spans="1:48" ht="20.100000000000001" customHeight="1" x14ac:dyDescent="0.2"/>
    <row r="64" spans="1:48" ht="18" customHeight="1" x14ac:dyDescent="0.2"/>
    <row r="65" spans="1:20" ht="20.100000000000001" customHeight="1" x14ac:dyDescent="0.2"/>
    <row r="66" spans="1:20" ht="18" customHeight="1" x14ac:dyDescent="0.2"/>
    <row r="67" spans="1:20" ht="20.100000000000001" customHeight="1" x14ac:dyDescent="0.2"/>
    <row r="68" spans="1:20" ht="6" customHeight="1" x14ac:dyDescent="0.2"/>
    <row r="69" spans="1:20" ht="18" customHeight="1" x14ac:dyDescent="0.2"/>
    <row r="70" spans="1:20" ht="19.5" customHeight="1" x14ac:dyDescent="0.2"/>
    <row r="71" spans="1:20" ht="19.5" customHeight="1" x14ac:dyDescent="0.2"/>
    <row r="72" spans="1:20" s="22" customFormat="1" ht="19.5" customHeight="1" x14ac:dyDescent="0.2">
      <c r="A72" s="19"/>
      <c r="B72" s="19"/>
      <c r="C72" s="19"/>
      <c r="D72" s="19"/>
      <c r="E72" s="19"/>
      <c r="F72" s="19"/>
      <c r="G72" s="19"/>
      <c r="H72" s="19"/>
      <c r="I72" s="19"/>
      <c r="J72" s="19"/>
      <c r="K72" s="19"/>
      <c r="L72" s="19"/>
      <c r="M72" s="19"/>
      <c r="N72" s="19"/>
      <c r="O72" s="19"/>
      <c r="P72" s="19"/>
      <c r="Q72" s="20"/>
      <c r="R72" s="20"/>
      <c r="S72" s="20"/>
      <c r="T72" s="20"/>
    </row>
    <row r="73" spans="1:20" s="39" customFormat="1" ht="19.5" customHeight="1" x14ac:dyDescent="0.2">
      <c r="A73" s="19"/>
      <c r="B73" s="19"/>
      <c r="C73" s="19"/>
      <c r="D73" s="19"/>
      <c r="E73" s="19"/>
      <c r="F73" s="19"/>
      <c r="G73" s="19"/>
      <c r="H73" s="19"/>
      <c r="I73" s="19"/>
      <c r="J73" s="19"/>
      <c r="K73" s="19"/>
      <c r="L73" s="19"/>
      <c r="M73" s="19"/>
      <c r="N73" s="19"/>
      <c r="O73" s="19"/>
      <c r="P73" s="19"/>
      <c r="Q73" s="20"/>
      <c r="R73" s="20"/>
      <c r="S73" s="20"/>
      <c r="T73" s="20"/>
    </row>
    <row r="74" spans="1:20" s="39" customFormat="1" ht="17.25" customHeight="1" x14ac:dyDescent="0.2">
      <c r="A74" s="19"/>
      <c r="B74" s="19"/>
      <c r="C74" s="19"/>
      <c r="D74" s="19"/>
      <c r="E74" s="19"/>
      <c r="F74" s="19"/>
      <c r="G74" s="19"/>
      <c r="H74" s="19"/>
      <c r="I74" s="19"/>
      <c r="J74" s="19"/>
      <c r="K74" s="19"/>
      <c r="L74" s="19"/>
      <c r="M74" s="19"/>
      <c r="N74" s="19"/>
      <c r="O74" s="19"/>
      <c r="P74" s="19"/>
      <c r="Q74" s="20"/>
      <c r="R74" s="20"/>
      <c r="S74" s="20"/>
      <c r="T74" s="20"/>
    </row>
    <row r="75" spans="1:20" s="39" customFormat="1" ht="24" customHeight="1" x14ac:dyDescent="0.2">
      <c r="A75" s="19"/>
      <c r="B75" s="19"/>
      <c r="C75" s="19"/>
      <c r="D75" s="19"/>
      <c r="E75" s="19"/>
      <c r="F75" s="19"/>
      <c r="G75" s="19"/>
      <c r="H75" s="19"/>
      <c r="I75" s="19"/>
      <c r="J75" s="19"/>
      <c r="K75" s="19"/>
      <c r="L75" s="19"/>
      <c r="M75" s="19"/>
      <c r="N75" s="19"/>
      <c r="O75" s="19"/>
      <c r="P75" s="19"/>
      <c r="Q75" s="20"/>
      <c r="R75" s="20"/>
      <c r="S75" s="20"/>
      <c r="T75" s="20"/>
    </row>
    <row r="76" spans="1:20" s="39" customFormat="1" ht="19.5" customHeight="1" x14ac:dyDescent="0.2">
      <c r="A76" s="19"/>
      <c r="B76" s="19"/>
      <c r="C76" s="19"/>
      <c r="D76" s="19"/>
      <c r="E76" s="19"/>
      <c r="F76" s="19"/>
      <c r="G76" s="19"/>
      <c r="H76" s="19"/>
      <c r="I76" s="19"/>
      <c r="J76" s="19"/>
      <c r="K76" s="19"/>
      <c r="L76" s="19"/>
      <c r="M76" s="19"/>
      <c r="N76" s="19"/>
      <c r="O76" s="19"/>
      <c r="P76" s="19"/>
      <c r="Q76" s="20"/>
      <c r="R76" s="20"/>
      <c r="S76" s="20"/>
      <c r="T76" s="20"/>
    </row>
    <row r="77" spans="1:20" s="39" customFormat="1" ht="19.5" customHeight="1" x14ac:dyDescent="0.2">
      <c r="A77" s="19"/>
      <c r="B77" s="19"/>
      <c r="C77" s="19"/>
      <c r="D77" s="19"/>
      <c r="E77" s="19"/>
      <c r="F77" s="19"/>
      <c r="G77" s="19"/>
      <c r="H77" s="19"/>
      <c r="I77" s="19"/>
      <c r="J77" s="19"/>
      <c r="K77" s="19"/>
      <c r="L77" s="19"/>
      <c r="M77" s="19"/>
      <c r="N77" s="19"/>
      <c r="O77" s="19"/>
      <c r="P77" s="19"/>
      <c r="Q77" s="20"/>
      <c r="R77" s="20"/>
      <c r="S77" s="20"/>
      <c r="T77" s="20"/>
    </row>
    <row r="78" spans="1:20" s="39" customFormat="1" ht="19.5" customHeight="1" x14ac:dyDescent="0.2">
      <c r="A78" s="19"/>
      <c r="B78" s="19"/>
      <c r="C78" s="19"/>
      <c r="D78" s="19"/>
      <c r="E78" s="19"/>
      <c r="F78" s="19"/>
      <c r="G78" s="19"/>
      <c r="H78" s="19"/>
      <c r="I78" s="19"/>
      <c r="J78" s="19"/>
      <c r="K78" s="19"/>
      <c r="L78" s="19"/>
      <c r="M78" s="19"/>
      <c r="N78" s="19"/>
      <c r="O78" s="19"/>
      <c r="P78" s="19"/>
      <c r="Q78" s="20"/>
      <c r="R78" s="20"/>
      <c r="S78" s="20"/>
      <c r="T78" s="20"/>
    </row>
    <row r="79" spans="1:20" s="39" customFormat="1" ht="18" customHeight="1" x14ac:dyDescent="0.2">
      <c r="A79" s="19"/>
      <c r="B79" s="19"/>
      <c r="C79" s="19"/>
      <c r="D79" s="19"/>
      <c r="E79" s="19"/>
      <c r="F79" s="19"/>
      <c r="G79" s="19"/>
      <c r="H79" s="19"/>
      <c r="I79" s="19"/>
      <c r="J79" s="19"/>
      <c r="K79" s="19"/>
      <c r="L79" s="19"/>
      <c r="M79" s="19"/>
      <c r="N79" s="19"/>
      <c r="O79" s="19"/>
      <c r="P79" s="19"/>
      <c r="Q79" s="20"/>
      <c r="R79" s="20"/>
      <c r="S79" s="20"/>
      <c r="T79" s="20"/>
    </row>
    <row r="80" spans="1:20" s="39" customFormat="1" ht="18" customHeight="1" x14ac:dyDescent="0.2">
      <c r="A80" s="19"/>
      <c r="B80" s="19"/>
      <c r="C80" s="19"/>
      <c r="D80" s="19"/>
      <c r="E80" s="19"/>
      <c r="F80" s="19"/>
      <c r="G80" s="19"/>
      <c r="H80" s="19"/>
      <c r="I80" s="19"/>
      <c r="J80" s="19"/>
      <c r="K80" s="19"/>
      <c r="L80" s="19"/>
      <c r="M80" s="19"/>
      <c r="N80" s="19"/>
      <c r="O80" s="19"/>
      <c r="P80" s="19"/>
      <c r="Q80" s="20"/>
      <c r="R80" s="20"/>
      <c r="S80" s="20"/>
      <c r="T80" s="20"/>
    </row>
    <row r="81" spans="1:22" s="39" customFormat="1" ht="18" customHeight="1" x14ac:dyDescent="0.2">
      <c r="A81" s="19"/>
      <c r="B81" s="19"/>
      <c r="C81" s="19"/>
      <c r="D81" s="19"/>
      <c r="E81" s="19"/>
      <c r="F81" s="19"/>
      <c r="G81" s="19"/>
      <c r="H81" s="19"/>
      <c r="I81" s="19"/>
      <c r="J81" s="19"/>
      <c r="K81" s="19"/>
      <c r="L81" s="19"/>
      <c r="M81" s="19"/>
      <c r="N81" s="19"/>
      <c r="O81" s="19"/>
      <c r="P81" s="19"/>
      <c r="Q81" s="20"/>
      <c r="R81" s="20"/>
      <c r="S81" s="20"/>
      <c r="T81" s="20"/>
    </row>
    <row r="82" spans="1:22" s="39" customFormat="1" ht="18" customHeight="1" x14ac:dyDescent="0.2">
      <c r="A82" s="19"/>
      <c r="B82" s="19"/>
      <c r="C82" s="19"/>
      <c r="D82" s="19"/>
      <c r="E82" s="19"/>
      <c r="F82" s="19"/>
      <c r="G82" s="19"/>
      <c r="H82" s="19"/>
      <c r="I82" s="19"/>
      <c r="J82" s="19"/>
      <c r="K82" s="19"/>
      <c r="L82" s="19"/>
      <c r="M82" s="19"/>
      <c r="N82" s="19"/>
      <c r="O82" s="19"/>
      <c r="P82" s="19"/>
      <c r="Q82" s="20"/>
      <c r="R82" s="20"/>
      <c r="S82" s="20"/>
      <c r="T82" s="20"/>
    </row>
    <row r="83" spans="1:22" s="39" customFormat="1" ht="18" customHeight="1" x14ac:dyDescent="0.2">
      <c r="A83" s="19"/>
      <c r="B83" s="19"/>
      <c r="C83" s="19"/>
      <c r="D83" s="19"/>
      <c r="E83" s="19"/>
      <c r="F83" s="19"/>
      <c r="G83" s="19"/>
      <c r="H83" s="19"/>
      <c r="I83" s="19"/>
      <c r="J83" s="19"/>
      <c r="K83" s="19"/>
      <c r="L83" s="19"/>
      <c r="M83" s="19"/>
      <c r="N83" s="19"/>
      <c r="O83" s="19"/>
      <c r="P83" s="19"/>
      <c r="Q83" s="20"/>
      <c r="R83" s="20"/>
      <c r="S83" s="20"/>
      <c r="T83" s="20"/>
    </row>
    <row r="84" spans="1:22" ht="18" customHeight="1" x14ac:dyDescent="0.2">
      <c r="U84" s="16"/>
      <c r="V84" s="16"/>
    </row>
    <row r="85" spans="1:22" ht="35.1" customHeight="1" x14ac:dyDescent="0.2">
      <c r="U85" s="16"/>
      <c r="V85" s="16"/>
    </row>
    <row r="86" spans="1:22" ht="35.1" customHeight="1" x14ac:dyDescent="0.2">
      <c r="U86" s="16"/>
      <c r="V86" s="16"/>
    </row>
    <row r="87" spans="1:22" ht="35.1" customHeight="1" x14ac:dyDescent="0.2">
      <c r="U87" s="16"/>
      <c r="V87" s="16"/>
    </row>
    <row r="88" spans="1:22" ht="35.1" customHeight="1" x14ac:dyDescent="0.3">
      <c r="U88" s="67"/>
      <c r="V88" s="2"/>
    </row>
    <row r="89" spans="1:22" ht="35.1" customHeight="1" x14ac:dyDescent="0.3">
      <c r="U89" s="67"/>
      <c r="V89" s="2"/>
    </row>
    <row r="90" spans="1:22" ht="35.1" customHeight="1" x14ac:dyDescent="0.3">
      <c r="U90" s="16"/>
      <c r="V90" s="2"/>
    </row>
  </sheetData>
  <sheetProtection sheet="1" objects="1" scenarios="1"/>
  <customSheetViews>
    <customSheetView guid="{3320ADAB-1745-4CE0-B739-BF2E8269138B}" scale="75" showGridLines="0" fitToPage="1" showRuler="0">
      <selection sqref="A1:L5"/>
      <pageMargins left="0.4" right="0.75" top="0.4" bottom="0.4" header="0.5" footer="0.4"/>
      <printOptions horizontalCentered="1"/>
      <pageSetup scale="44" orientation="portrait" r:id="rId1"/>
      <headerFooter alignWithMargins="0"/>
    </customSheetView>
    <customSheetView guid="{D1431318-1DB8-4C45-813B-5A8065DFC797}" showPageBreaks="1" showGridLines="0" zeroValues="0" printArea="1" view="pageBreakPreview">
      <selection activeCell="Z18" sqref="Z18"/>
      <rowBreaks count="1" manualBreakCount="1">
        <brk id="69" max="19" man="1"/>
      </rowBreaks>
      <pageMargins left="0.4" right="0.44" top="0.4" bottom="0.4" header="0.5" footer="0.4"/>
      <printOptions horizontalCentered="1"/>
      <pageSetup scale="69" fitToHeight="3" orientation="portrait" blackAndWhite="1" r:id="rId2"/>
      <headerFooter alignWithMargins="0"/>
    </customSheetView>
  </customSheetViews>
  <mergeCells count="72">
    <mergeCell ref="AF20:AG20"/>
    <mergeCell ref="AF18:AG18"/>
    <mergeCell ref="C21:D21"/>
    <mergeCell ref="J34:K34"/>
    <mergeCell ref="F40:G40"/>
    <mergeCell ref="J32:K32"/>
    <mergeCell ref="C40:D40"/>
    <mergeCell ref="C30:D30"/>
    <mergeCell ref="H21:I21"/>
    <mergeCell ref="Q23:R23"/>
    <mergeCell ref="Q25:R25"/>
    <mergeCell ref="Q28:R28"/>
    <mergeCell ref="AE6:AF6"/>
    <mergeCell ref="AE11:AF11"/>
    <mergeCell ref="Z11:AA11"/>
    <mergeCell ref="W6:X6"/>
    <mergeCell ref="W15:X15"/>
    <mergeCell ref="AA6:AB6"/>
    <mergeCell ref="AU60:AV60"/>
    <mergeCell ref="B28:J28"/>
    <mergeCell ref="W13:AK14"/>
    <mergeCell ref="W20:X20"/>
    <mergeCell ref="AA20:AB20"/>
    <mergeCell ref="C52:D52"/>
    <mergeCell ref="I47:J47"/>
    <mergeCell ref="E47:F47"/>
    <mergeCell ref="AF15:AG15"/>
    <mergeCell ref="J52:K52"/>
    <mergeCell ref="C50:D50"/>
    <mergeCell ref="G50:H50"/>
    <mergeCell ref="G47:H47"/>
    <mergeCell ref="B18:S19"/>
    <mergeCell ref="K23:L23"/>
    <mergeCell ref="G52:H52"/>
    <mergeCell ref="G54:H54"/>
    <mergeCell ref="C47:D47"/>
    <mergeCell ref="I11:J11"/>
    <mergeCell ref="I13:J13"/>
    <mergeCell ref="N21:O21"/>
    <mergeCell ref="E30:F30"/>
    <mergeCell ref="I30:J30"/>
    <mergeCell ref="J54:K54"/>
    <mergeCell ref="C54:D54"/>
    <mergeCell ref="K47:L47"/>
    <mergeCell ref="J42:K42"/>
    <mergeCell ref="F42:G42"/>
    <mergeCell ref="I40:J40"/>
    <mergeCell ref="G30:H30"/>
    <mergeCell ref="K25:L25"/>
    <mergeCell ref="C38:D38"/>
    <mergeCell ref="C42:D42"/>
    <mergeCell ref="E50:F50"/>
    <mergeCell ref="I6:J6"/>
    <mergeCell ref="F38:G38"/>
    <mergeCell ref="A17:T17"/>
    <mergeCell ref="E25:F25"/>
    <mergeCell ref="R6:S6"/>
    <mergeCell ref="F9:J9"/>
    <mergeCell ref="N9:R9"/>
    <mergeCell ref="N11:T15"/>
    <mergeCell ref="I15:J15"/>
    <mergeCell ref="J38:K38"/>
    <mergeCell ref="K30:L30"/>
    <mergeCell ref="K28:L28"/>
    <mergeCell ref="J36:K36"/>
    <mergeCell ref="B22:M22"/>
    <mergeCell ref="A1:T1"/>
    <mergeCell ref="L2:M2"/>
    <mergeCell ref="B2:K2"/>
    <mergeCell ref="N2:O2"/>
    <mergeCell ref="I4:J4"/>
    <mergeCell ref="N4:R4"/>
  </mergeCells>
  <phoneticPr fontId="21" type="noConversion"/>
  <dataValidations count="3">
    <dataValidation type="list" allowBlank="1" showInputMessage="1" showErrorMessage="1" sqref="C42:D42" xr:uid="{00000000-0002-0000-0300-000000000000}">
      <formula1>DepthAlarm</formula1>
    </dataValidation>
    <dataValidation type="list" allowBlank="1" showInputMessage="1" showErrorMessage="1" sqref="H33" xr:uid="{00000000-0002-0000-0300-000001000000}">
      <formula1>$AK$41:$AK$45</formula1>
    </dataValidation>
    <dataValidation type="whole" allowBlank="1" showInputMessage="1" showErrorMessage="1" error="Must be between Min and Max" sqref="K28:L28" xr:uid="{00000000-0002-0000-0300-000002000000}">
      <formula1>K23-1</formula1>
      <formula2>K25</formula2>
    </dataValidation>
  </dataValidations>
  <printOptions horizontalCentered="1"/>
  <pageMargins left="0.4" right="0.44" top="0.4" bottom="0.4" header="0.5" footer="0.4"/>
  <pageSetup scale="69" fitToHeight="3" orientation="portrait" blackAndWhite="1" r:id="rId3"/>
  <headerFooter alignWithMargins="0"/>
  <drawing r:id="rId4"/>
  <extLst>
    <ext xmlns:x14="http://schemas.microsoft.com/office/spreadsheetml/2009/9/main" uri="{CCE6A557-97BC-4b89-ADB6-D9C93CAAB3DF}">
      <x14:dataValidations xmlns:xm="http://schemas.microsoft.com/office/excel/2006/main" count="1">
        <x14:dataValidation type="list" allowBlank="1" showInputMessage="1" showErrorMessage="1" promptTitle="Tank Use" prompt="What will the pump tank be used for?" xr:uid="{00000000-0002-0000-0300-000003000000}">
          <x14:formula1>
            <xm:f>'Drop-Down Lists'!$M$50:$M$54</xm:f>
          </x14:formula1>
          <xm:sqref>N4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rgb="FFFFFF00"/>
    <pageSetUpPr fitToPage="1"/>
  </sheetPr>
  <dimension ref="A1:T62"/>
  <sheetViews>
    <sheetView showGridLines="0" view="pageBreakPreview" topLeftCell="A31" zoomScaleNormal="100" zoomScaleSheetLayoutView="100" workbookViewId="0">
      <selection activeCell="G70" sqref="G70"/>
    </sheetView>
  </sheetViews>
  <sheetFormatPr defaultColWidth="9.140625" defaultRowHeight="15" x14ac:dyDescent="0.2"/>
  <cols>
    <col min="1" max="1" width="4" style="200" customWidth="1"/>
    <col min="2" max="2" width="9" style="200" customWidth="1"/>
    <col min="3" max="7" width="7.42578125" style="200" customWidth="1"/>
    <col min="8" max="8" width="9" style="200" customWidth="1"/>
    <col min="9" max="10" width="7.42578125" style="200" customWidth="1"/>
    <col min="11" max="11" width="4.85546875" style="200" customWidth="1"/>
    <col min="12" max="20" width="7.42578125" style="200" customWidth="1"/>
    <col min="21" max="16384" width="9.140625" style="200"/>
  </cols>
  <sheetData>
    <row r="1" spans="1:20" ht="54.95" customHeight="1" thickBot="1" x14ac:dyDescent="0.25">
      <c r="A1" s="199"/>
      <c r="B1" s="199"/>
      <c r="C1" s="199"/>
      <c r="D1" s="199"/>
      <c r="E1" s="570" t="s">
        <v>639</v>
      </c>
      <c r="F1" s="570"/>
      <c r="G1" s="570"/>
      <c r="H1" s="570"/>
      <c r="I1" s="570"/>
      <c r="J1" s="570"/>
      <c r="K1" s="570"/>
      <c r="L1" s="570"/>
      <c r="M1" s="570"/>
      <c r="N1" s="570"/>
      <c r="O1" s="570"/>
      <c r="P1" s="199"/>
      <c r="Q1" s="199"/>
      <c r="R1" s="199"/>
      <c r="S1" s="199"/>
      <c r="T1" s="199"/>
    </row>
    <row r="2" spans="1:20" ht="18" x14ac:dyDescent="0.3">
      <c r="A2" s="395" t="s">
        <v>383</v>
      </c>
      <c r="B2" s="400"/>
      <c r="C2" s="400"/>
      <c r="D2" s="400"/>
      <c r="E2" s="400"/>
      <c r="F2" s="400"/>
      <c r="G2" s="400"/>
      <c r="H2" s="578" t="s">
        <v>431</v>
      </c>
      <c r="I2" s="578"/>
      <c r="J2" s="579" t="e">
        <f>IF(ISBLANK(#REF!)," ",#REF!)</f>
        <v>#REF!</v>
      </c>
      <c r="K2" s="579"/>
      <c r="L2" s="355"/>
      <c r="M2" s="355"/>
      <c r="N2" s="355"/>
      <c r="O2" s="355"/>
      <c r="P2" s="359"/>
      <c r="Q2" s="359"/>
      <c r="R2" s="359"/>
      <c r="S2" s="580" t="str">
        <f>'Drop-Down Lists'!J40</f>
        <v>v 9.9.2021</v>
      </c>
      <c r="T2" s="581"/>
    </row>
    <row r="3" spans="1:20" ht="6" customHeight="1" x14ac:dyDescent="0.2">
      <c r="A3" s="201"/>
      <c r="B3" s="202"/>
      <c r="C3" s="202"/>
      <c r="D3" s="202"/>
      <c r="E3" s="202"/>
      <c r="F3" s="202"/>
      <c r="G3" s="202"/>
      <c r="H3" s="202"/>
      <c r="I3" s="202"/>
      <c r="J3" s="202"/>
      <c r="K3" s="202"/>
      <c r="L3" s="202"/>
      <c r="M3" s="202"/>
      <c r="N3" s="202"/>
      <c r="O3" s="202"/>
      <c r="P3" s="202"/>
      <c r="Q3" s="202"/>
      <c r="R3" s="202"/>
      <c r="S3" s="202"/>
      <c r="T3" s="203"/>
    </row>
    <row r="4" spans="1:20" ht="21.95" customHeight="1" x14ac:dyDescent="0.2">
      <c r="A4" s="163" t="s">
        <v>68</v>
      </c>
      <c r="B4" s="164" t="s">
        <v>384</v>
      </c>
      <c r="C4" s="164"/>
      <c r="D4" s="164"/>
      <c r="E4" s="571"/>
      <c r="F4" s="572"/>
      <c r="G4" s="572"/>
      <c r="H4" s="572"/>
      <c r="I4" s="572"/>
      <c r="J4" s="573"/>
      <c r="K4" s="164"/>
      <c r="L4" s="164" t="s">
        <v>385</v>
      </c>
      <c r="M4" s="164"/>
      <c r="N4" s="571"/>
      <c r="O4" s="572"/>
      <c r="P4" s="572"/>
      <c r="Q4" s="572"/>
      <c r="R4" s="572"/>
      <c r="S4" s="573"/>
      <c r="T4" s="166"/>
    </row>
    <row r="5" spans="1:20" ht="6" customHeight="1" x14ac:dyDescent="0.2">
      <c r="A5" s="167"/>
      <c r="B5" s="165"/>
      <c r="C5" s="165"/>
      <c r="D5" s="165"/>
      <c r="E5" s="165"/>
      <c r="F5" s="165"/>
      <c r="G5" s="165"/>
      <c r="H5" s="165"/>
      <c r="I5" s="165"/>
      <c r="J5" s="165"/>
      <c r="K5" s="165"/>
      <c r="L5" s="165"/>
      <c r="M5" s="165"/>
      <c r="N5" s="165"/>
      <c r="O5" s="165"/>
      <c r="P5" s="165"/>
      <c r="Q5" s="165"/>
      <c r="R5" s="165"/>
      <c r="S5" s="165"/>
      <c r="T5" s="166"/>
    </row>
    <row r="6" spans="1:20" ht="21.95" customHeight="1" x14ac:dyDescent="0.2">
      <c r="A6" s="167" t="s">
        <v>257</v>
      </c>
      <c r="B6" s="165" t="s">
        <v>386</v>
      </c>
      <c r="C6" s="165"/>
      <c r="D6" s="165"/>
      <c r="E6" s="165"/>
      <c r="F6" s="165"/>
      <c r="G6" s="165"/>
      <c r="H6" s="165"/>
      <c r="I6" s="165"/>
      <c r="J6" s="165"/>
      <c r="K6" s="165"/>
      <c r="L6" s="138" t="s">
        <v>647</v>
      </c>
      <c r="M6" s="331"/>
      <c r="N6" s="528"/>
      <c r="O6" s="529"/>
      <c r="P6" s="529"/>
      <c r="Q6" s="529"/>
      <c r="R6" s="530"/>
      <c r="S6" s="165"/>
      <c r="T6" s="166"/>
    </row>
    <row r="7" spans="1:20" ht="6" customHeight="1" x14ac:dyDescent="0.2">
      <c r="A7" s="167"/>
      <c r="B7" s="165"/>
      <c r="C7" s="165"/>
      <c r="D7" s="165"/>
      <c r="E7" s="165"/>
      <c r="F7" s="165"/>
      <c r="G7" s="165"/>
      <c r="H7" s="165"/>
      <c r="I7" s="165"/>
      <c r="J7" s="165"/>
      <c r="K7" s="165"/>
      <c r="L7" s="165"/>
      <c r="M7" s="165"/>
      <c r="N7" s="165"/>
      <c r="O7" s="165"/>
      <c r="P7" s="165"/>
      <c r="Q7" s="165"/>
      <c r="R7" s="165"/>
      <c r="S7" s="165"/>
      <c r="T7" s="166"/>
    </row>
    <row r="8" spans="1:20" ht="24" customHeight="1" x14ac:dyDescent="0.2">
      <c r="A8" s="167"/>
      <c r="B8" s="165" t="s">
        <v>387</v>
      </c>
      <c r="C8" s="281"/>
      <c r="D8" s="165" t="s">
        <v>31</v>
      </c>
      <c r="E8" s="165" t="s">
        <v>388</v>
      </c>
      <c r="F8" s="281"/>
      <c r="G8" s="165" t="s">
        <v>31</v>
      </c>
      <c r="H8" s="165" t="s">
        <v>389</v>
      </c>
      <c r="I8" s="281"/>
      <c r="J8" s="165" t="s">
        <v>31</v>
      </c>
      <c r="K8" s="574" t="s">
        <v>390</v>
      </c>
      <c r="L8" s="574"/>
      <c r="M8" s="575"/>
      <c r="N8" s="281"/>
      <c r="O8" s="165" t="s">
        <v>31</v>
      </c>
      <c r="P8" s="204"/>
      <c r="Q8" s="204"/>
      <c r="R8" s="204"/>
      <c r="S8" s="204"/>
      <c r="T8" s="166"/>
    </row>
    <row r="9" spans="1:20" ht="6" customHeight="1" x14ac:dyDescent="0.2">
      <c r="A9" s="167"/>
      <c r="B9" s="165"/>
      <c r="C9" s="165"/>
      <c r="D9" s="165"/>
      <c r="E9" s="165"/>
      <c r="F9" s="165"/>
      <c r="G9" s="165"/>
      <c r="H9" s="165"/>
      <c r="I9" s="165"/>
      <c r="J9" s="165"/>
      <c r="K9" s="168"/>
      <c r="L9" s="168"/>
      <c r="M9" s="168"/>
      <c r="N9" s="165"/>
      <c r="O9" s="165"/>
      <c r="P9" s="165"/>
      <c r="Q9" s="165"/>
      <c r="R9" s="165"/>
      <c r="S9" s="165"/>
      <c r="T9" s="166"/>
    </row>
    <row r="10" spans="1:20" ht="24" customHeight="1" x14ac:dyDescent="0.2">
      <c r="A10" s="167"/>
      <c r="B10" s="165" t="s">
        <v>387</v>
      </c>
      <c r="C10" s="169" t="str">
        <f>IF(ISBLANK(C8),"",C8/12)</f>
        <v/>
      </c>
      <c r="D10" s="170" t="s">
        <v>29</v>
      </c>
      <c r="E10" s="165" t="s">
        <v>388</v>
      </c>
      <c r="F10" s="169" t="str">
        <f>IF(ISBLANK(C8),"",F8/12)</f>
        <v/>
      </c>
      <c r="G10" s="170" t="s">
        <v>29</v>
      </c>
      <c r="H10" s="165" t="s">
        <v>389</v>
      </c>
      <c r="I10" s="169" t="str">
        <f>IF(ISBLANK(I8),"",I8/12)</f>
        <v/>
      </c>
      <c r="J10" s="170" t="s">
        <v>29</v>
      </c>
      <c r="K10" s="576" t="s">
        <v>391</v>
      </c>
      <c r="L10" s="576"/>
      <c r="M10" s="577"/>
      <c r="N10" s="171" t="str">
        <f>IF(ISBLANK(N8),"",N8/2)</f>
        <v/>
      </c>
      <c r="O10" s="165" t="s">
        <v>31</v>
      </c>
      <c r="P10" s="204"/>
      <c r="Q10" s="204"/>
      <c r="R10" s="172"/>
      <c r="S10" s="170"/>
      <c r="T10" s="166"/>
    </row>
    <row r="11" spans="1:20" ht="6" customHeight="1" x14ac:dyDescent="0.2">
      <c r="A11" s="167"/>
      <c r="B11" s="165"/>
      <c r="C11" s="165"/>
      <c r="D11" s="165"/>
      <c r="E11" s="165"/>
      <c r="F11" s="165"/>
      <c r="G11" s="165"/>
      <c r="H11" s="165"/>
      <c r="I11" s="165"/>
      <c r="J11" s="165"/>
      <c r="K11" s="165"/>
      <c r="L11" s="165"/>
      <c r="M11" s="165"/>
      <c r="N11" s="165"/>
      <c r="O11" s="165"/>
      <c r="P11" s="165"/>
      <c r="Q11" s="165"/>
      <c r="R11" s="165"/>
      <c r="S11" s="165"/>
      <c r="T11" s="166"/>
    </row>
    <row r="12" spans="1:20" ht="18" x14ac:dyDescent="0.2">
      <c r="A12" s="559" t="s">
        <v>392</v>
      </c>
      <c r="B12" s="560"/>
      <c r="C12" s="560"/>
      <c r="D12" s="560"/>
      <c r="E12" s="560"/>
      <c r="F12" s="560"/>
      <c r="G12" s="560"/>
      <c r="H12" s="560"/>
      <c r="I12" s="560"/>
      <c r="J12" s="560"/>
      <c r="K12" s="560"/>
      <c r="L12" s="560"/>
      <c r="M12" s="560"/>
      <c r="N12" s="560"/>
      <c r="O12" s="560"/>
      <c r="P12" s="560"/>
      <c r="Q12" s="560"/>
      <c r="R12" s="560"/>
      <c r="S12" s="560"/>
      <c r="T12" s="561"/>
    </row>
    <row r="13" spans="1:20" ht="18" x14ac:dyDescent="0.2">
      <c r="A13" s="562" t="s">
        <v>393</v>
      </c>
      <c r="B13" s="563"/>
      <c r="C13" s="563"/>
      <c r="D13" s="563"/>
      <c r="E13" s="563"/>
      <c r="F13" s="563"/>
      <c r="G13" s="563"/>
      <c r="H13" s="563"/>
      <c r="I13" s="563"/>
      <c r="J13" s="564"/>
      <c r="K13" s="565" t="s">
        <v>394</v>
      </c>
      <c r="L13" s="563"/>
      <c r="M13" s="563"/>
      <c r="N13" s="563"/>
      <c r="O13" s="563"/>
      <c r="P13" s="563"/>
      <c r="Q13" s="563"/>
      <c r="R13" s="563"/>
      <c r="S13" s="563"/>
      <c r="T13" s="566"/>
    </row>
    <row r="14" spans="1:20" ht="6" customHeight="1" x14ac:dyDescent="0.2">
      <c r="A14" s="201"/>
      <c r="B14" s="202"/>
      <c r="C14" s="202"/>
      <c r="D14" s="202"/>
      <c r="E14" s="202"/>
      <c r="F14" s="202"/>
      <c r="G14" s="202"/>
      <c r="H14" s="202"/>
      <c r="I14" s="202"/>
      <c r="J14" s="205"/>
      <c r="K14" s="206"/>
      <c r="L14" s="202"/>
      <c r="M14" s="202"/>
      <c r="N14" s="202"/>
      <c r="O14" s="202"/>
      <c r="P14" s="202"/>
      <c r="Q14" s="202"/>
      <c r="R14" s="202"/>
      <c r="S14" s="202"/>
      <c r="T14" s="203"/>
    </row>
    <row r="15" spans="1:20" ht="24.6" customHeight="1" x14ac:dyDescent="0.2">
      <c r="A15" s="167" t="s">
        <v>68</v>
      </c>
      <c r="B15" s="165" t="s">
        <v>395</v>
      </c>
      <c r="C15" s="165"/>
      <c r="D15" s="165"/>
      <c r="E15" s="165"/>
      <c r="F15" s="165"/>
      <c r="G15" s="165"/>
      <c r="H15" s="165"/>
      <c r="I15" s="165"/>
      <c r="J15" s="207"/>
      <c r="K15" s="197" t="s">
        <v>68</v>
      </c>
      <c r="L15" s="165" t="s">
        <v>396</v>
      </c>
      <c r="M15" s="165"/>
      <c r="N15" s="165"/>
      <c r="O15" s="165"/>
      <c r="P15" s="165"/>
      <c r="Q15" s="165"/>
      <c r="R15" s="165"/>
      <c r="S15" s="165"/>
      <c r="T15" s="166"/>
    </row>
    <row r="16" spans="1:20" ht="6" customHeight="1" x14ac:dyDescent="0.2">
      <c r="A16" s="167"/>
      <c r="B16" s="165"/>
      <c r="C16" s="165"/>
      <c r="D16" s="165"/>
      <c r="E16" s="165"/>
      <c r="F16" s="165"/>
      <c r="G16" s="165"/>
      <c r="H16" s="165"/>
      <c r="I16" s="165"/>
      <c r="J16" s="207"/>
      <c r="K16" s="208"/>
      <c r="L16" s="175"/>
      <c r="M16" s="165"/>
      <c r="N16" s="165"/>
      <c r="O16" s="165"/>
      <c r="P16" s="165"/>
      <c r="Q16" s="165"/>
      <c r="R16" s="165"/>
      <c r="S16" s="165"/>
      <c r="T16" s="166"/>
    </row>
    <row r="17" spans="1:20" ht="24" customHeight="1" x14ac:dyDescent="0.2">
      <c r="A17" s="167"/>
      <c r="B17" s="567" t="str">
        <f>C10</f>
        <v/>
      </c>
      <c r="C17" s="564"/>
      <c r="D17" s="164" t="s">
        <v>55</v>
      </c>
      <c r="E17" s="567" t="str">
        <f>F10</f>
        <v/>
      </c>
      <c r="F17" s="564"/>
      <c r="G17" s="164" t="s">
        <v>52</v>
      </c>
      <c r="H17" s="567" t="str">
        <f>IF(ISBLANK(C8),"",B17*E17)</f>
        <v/>
      </c>
      <c r="I17" s="568"/>
      <c r="J17" s="207" t="s">
        <v>397</v>
      </c>
      <c r="K17" s="208"/>
      <c r="L17" s="569" t="s">
        <v>398</v>
      </c>
      <c r="M17" s="569"/>
      <c r="N17" s="567" t="str">
        <f>IF(ISBLANK(N8),"",N10)</f>
        <v/>
      </c>
      <c r="O17" s="568"/>
      <c r="P17" s="164" t="s">
        <v>399</v>
      </c>
      <c r="Q17" s="567" t="str">
        <f>IF(ISBLANK(N8),"",3.24*N10^2)</f>
        <v/>
      </c>
      <c r="R17" s="568"/>
      <c r="S17" s="165" t="s">
        <v>397</v>
      </c>
      <c r="T17" s="209"/>
    </row>
    <row r="18" spans="1:20" ht="6" customHeight="1" x14ac:dyDescent="0.2">
      <c r="A18" s="167"/>
      <c r="B18" s="165"/>
      <c r="C18" s="165"/>
      <c r="D18" s="165"/>
      <c r="E18" s="165"/>
      <c r="F18" s="165"/>
      <c r="G18" s="165"/>
      <c r="H18" s="165"/>
      <c r="I18" s="165"/>
      <c r="J18" s="207"/>
      <c r="K18" s="208"/>
      <c r="L18" s="175"/>
      <c r="M18" s="165"/>
      <c r="N18" s="204"/>
      <c r="O18" s="204"/>
      <c r="P18" s="204"/>
      <c r="Q18" s="165"/>
      <c r="R18" s="204"/>
      <c r="S18" s="204"/>
      <c r="T18" s="166"/>
    </row>
    <row r="19" spans="1:20" ht="15" customHeight="1" x14ac:dyDescent="0.2">
      <c r="A19" s="167" t="s">
        <v>257</v>
      </c>
      <c r="B19" s="165" t="s">
        <v>400</v>
      </c>
      <c r="C19" s="165"/>
      <c r="D19" s="165"/>
      <c r="E19" s="165"/>
      <c r="F19" s="165"/>
      <c r="G19" s="165"/>
      <c r="H19" s="165"/>
      <c r="I19" s="165"/>
      <c r="J19" s="207"/>
      <c r="K19" s="197" t="s">
        <v>257</v>
      </c>
      <c r="L19" s="165" t="s">
        <v>401</v>
      </c>
      <c r="M19" s="165"/>
      <c r="N19" s="165"/>
      <c r="O19" s="165"/>
      <c r="P19" s="165"/>
      <c r="Q19" s="165"/>
      <c r="R19" s="165"/>
      <c r="S19" s="165"/>
      <c r="T19" s="166"/>
    </row>
    <row r="20" spans="1:20" ht="6" customHeight="1" x14ac:dyDescent="0.2">
      <c r="A20" s="167"/>
      <c r="B20" s="165"/>
      <c r="C20" s="165"/>
      <c r="D20" s="165"/>
      <c r="E20" s="165"/>
      <c r="F20" s="165"/>
      <c r="G20" s="165"/>
      <c r="H20" s="165"/>
      <c r="I20" s="165"/>
      <c r="J20" s="207"/>
      <c r="K20" s="208"/>
      <c r="L20" s="165"/>
      <c r="M20" s="165"/>
      <c r="N20" s="165"/>
      <c r="O20" s="165"/>
      <c r="P20" s="165"/>
      <c r="Q20" s="165"/>
      <c r="R20" s="165"/>
      <c r="S20" s="165"/>
      <c r="T20" s="166"/>
    </row>
    <row r="21" spans="1:20" ht="24" customHeight="1" x14ac:dyDescent="0.2">
      <c r="A21" s="167"/>
      <c r="B21" s="567" t="str">
        <f>H17</f>
        <v/>
      </c>
      <c r="C21" s="568"/>
      <c r="D21" s="164" t="s">
        <v>55</v>
      </c>
      <c r="E21" s="567" t="str">
        <f>IF(ISBLANK(C8),"",I10)</f>
        <v/>
      </c>
      <c r="F21" s="564"/>
      <c r="G21" s="164" t="s">
        <v>52</v>
      </c>
      <c r="H21" s="567" t="str">
        <f>IF(ISBLANK(C8),"",B21*E21)</f>
        <v/>
      </c>
      <c r="I21" s="568"/>
      <c r="J21" s="207" t="s">
        <v>402</v>
      </c>
      <c r="K21" s="208"/>
      <c r="L21" s="567" t="str">
        <f>Q17</f>
        <v/>
      </c>
      <c r="M21" s="564"/>
      <c r="N21" s="164" t="s">
        <v>403</v>
      </c>
      <c r="O21" s="567" t="str">
        <f>IF(ISBLANK(N8),"",I10)</f>
        <v/>
      </c>
      <c r="P21" s="564"/>
      <c r="Q21" s="164" t="s">
        <v>53</v>
      </c>
      <c r="R21" s="589" t="str">
        <f>IF(ISBLANK(N8),"",L21*O21)</f>
        <v/>
      </c>
      <c r="S21" s="606"/>
      <c r="T21" s="166" t="s">
        <v>402</v>
      </c>
    </row>
    <row r="22" spans="1:20" ht="6" customHeight="1" x14ac:dyDescent="0.2">
      <c r="A22" s="210"/>
      <c r="B22" s="211"/>
      <c r="C22" s="211"/>
      <c r="D22" s="211"/>
      <c r="E22" s="211"/>
      <c r="F22" s="211"/>
      <c r="G22" s="211"/>
      <c r="H22" s="211"/>
      <c r="I22" s="211"/>
      <c r="J22" s="212"/>
      <c r="K22" s="213"/>
      <c r="L22" s="211"/>
      <c r="M22" s="211"/>
      <c r="N22" s="211"/>
      <c r="O22" s="211"/>
      <c r="P22" s="211"/>
      <c r="Q22" s="211"/>
      <c r="R22" s="211"/>
      <c r="S22" s="211"/>
      <c r="T22" s="214"/>
    </row>
    <row r="23" spans="1:20" s="216" customFormat="1" ht="19.5" x14ac:dyDescent="0.2">
      <c r="A23" s="559" t="s">
        <v>404</v>
      </c>
      <c r="B23" s="560"/>
      <c r="C23" s="560"/>
      <c r="D23" s="560"/>
      <c r="E23" s="560"/>
      <c r="F23" s="560"/>
      <c r="G23" s="560"/>
      <c r="H23" s="560"/>
      <c r="I23" s="560"/>
      <c r="J23" s="560"/>
      <c r="K23" s="174"/>
      <c r="L23" s="174"/>
      <c r="M23" s="174"/>
      <c r="N23" s="174"/>
      <c r="O23" s="174"/>
      <c r="P23" s="174"/>
      <c r="Q23" s="174"/>
      <c r="R23" s="174"/>
      <c r="S23" s="174"/>
      <c r="T23" s="215"/>
    </row>
    <row r="24" spans="1:20" ht="6" customHeight="1" x14ac:dyDescent="0.2">
      <c r="A24" s="167"/>
      <c r="B24" s="165"/>
      <c r="C24" s="165"/>
      <c r="D24" s="165"/>
      <c r="E24" s="165"/>
      <c r="F24" s="165"/>
      <c r="G24" s="165"/>
      <c r="H24" s="165"/>
      <c r="I24" s="165"/>
      <c r="J24" s="165"/>
      <c r="K24" s="165"/>
      <c r="L24" s="165"/>
      <c r="M24" s="165"/>
      <c r="N24" s="165"/>
      <c r="O24" s="165"/>
      <c r="P24" s="165"/>
      <c r="Q24" s="165"/>
      <c r="R24" s="165"/>
      <c r="S24" s="165"/>
      <c r="T24" s="166"/>
    </row>
    <row r="25" spans="1:20" ht="24" customHeight="1" x14ac:dyDescent="0.2">
      <c r="A25" s="167"/>
      <c r="B25" s="165" t="s">
        <v>426</v>
      </c>
      <c r="C25" s="165"/>
      <c r="D25" s="165"/>
      <c r="E25" s="165"/>
      <c r="F25" s="165"/>
      <c r="G25" s="204"/>
      <c r="H25" s="600"/>
      <c r="I25" s="601"/>
      <c r="J25" s="165" t="s">
        <v>405</v>
      </c>
      <c r="K25" s="204"/>
      <c r="L25" s="165"/>
      <c r="M25" s="204"/>
      <c r="N25" s="165"/>
      <c r="O25" s="165"/>
      <c r="P25" s="165"/>
      <c r="Q25" s="165"/>
      <c r="R25" s="165"/>
      <c r="S25" s="165"/>
      <c r="T25" s="166"/>
    </row>
    <row r="26" spans="1:20" ht="6" customHeight="1" x14ac:dyDescent="0.2">
      <c r="A26" s="167"/>
      <c r="B26" s="165"/>
      <c r="C26" s="165"/>
      <c r="D26" s="165"/>
      <c r="E26" s="165"/>
      <c r="F26" s="165"/>
      <c r="G26" s="165"/>
      <c r="H26" s="165"/>
      <c r="I26" s="165"/>
      <c r="J26" s="165"/>
      <c r="K26" s="165"/>
      <c r="L26" s="165"/>
      <c r="M26" s="165"/>
      <c r="N26" s="165"/>
      <c r="O26" s="165"/>
      <c r="P26" s="165"/>
      <c r="Q26" s="165"/>
      <c r="R26" s="165"/>
      <c r="S26" s="165"/>
      <c r="T26" s="166"/>
    </row>
    <row r="27" spans="1:20" s="216" customFormat="1" ht="19.5" x14ac:dyDescent="0.2">
      <c r="A27" s="173" t="s">
        <v>406</v>
      </c>
      <c r="B27" s="174"/>
      <c r="C27" s="174"/>
      <c r="D27" s="174"/>
      <c r="E27" s="174"/>
      <c r="F27" s="174"/>
      <c r="G27" s="174"/>
      <c r="H27" s="174"/>
      <c r="I27" s="174"/>
      <c r="J27" s="174"/>
      <c r="K27" s="174"/>
      <c r="L27" s="174"/>
      <c r="M27" s="174"/>
      <c r="N27" s="174"/>
      <c r="O27" s="174"/>
      <c r="P27" s="174"/>
      <c r="Q27" s="174"/>
      <c r="R27" s="174"/>
      <c r="S27" s="174"/>
      <c r="T27" s="215"/>
    </row>
    <row r="28" spans="1:20" ht="6" customHeight="1" x14ac:dyDescent="0.2">
      <c r="A28" s="167"/>
      <c r="B28" s="165"/>
      <c r="C28" s="165"/>
      <c r="D28" s="165"/>
      <c r="E28" s="165"/>
      <c r="F28" s="165"/>
      <c r="G28" s="165"/>
      <c r="H28" s="165"/>
      <c r="I28" s="165"/>
      <c r="J28" s="165"/>
      <c r="K28" s="165"/>
      <c r="L28" s="586" t="s">
        <v>407</v>
      </c>
      <c r="M28" s="586"/>
      <c r="N28" s="585" t="s">
        <v>408</v>
      </c>
      <c r="O28" s="585"/>
      <c r="P28" s="585"/>
      <c r="Q28" s="165"/>
      <c r="R28" s="165"/>
      <c r="S28" s="165"/>
      <c r="T28" s="166"/>
    </row>
    <row r="29" spans="1:20" ht="6" customHeight="1" x14ac:dyDescent="0.2">
      <c r="A29" s="167"/>
      <c r="B29" s="165"/>
      <c r="C29" s="165"/>
      <c r="D29" s="165"/>
      <c r="E29" s="165"/>
      <c r="F29" s="165"/>
      <c r="G29" s="165"/>
      <c r="H29" s="165"/>
      <c r="I29" s="165"/>
      <c r="J29" s="165"/>
      <c r="K29" s="165"/>
      <c r="L29" s="586"/>
      <c r="M29" s="586"/>
      <c r="N29" s="585"/>
      <c r="O29" s="585"/>
      <c r="P29" s="585"/>
      <c r="Q29" s="165"/>
      <c r="R29" s="165"/>
      <c r="S29" s="165"/>
      <c r="T29" s="166"/>
    </row>
    <row r="30" spans="1:20" ht="24" customHeight="1" x14ac:dyDescent="0.2">
      <c r="A30" s="167" t="s">
        <v>68</v>
      </c>
      <c r="B30" s="165" t="s">
        <v>409</v>
      </c>
      <c r="C30" s="165"/>
      <c r="D30" s="165"/>
      <c r="E30" s="204"/>
      <c r="F30" s="281"/>
      <c r="G30" s="165" t="s">
        <v>31</v>
      </c>
      <c r="H30" s="169" t="str">
        <f>IF(ISBLANK(F30),"",F30/12)</f>
        <v/>
      </c>
      <c r="I30" s="165" t="s">
        <v>29</v>
      </c>
      <c r="J30" s="204"/>
      <c r="K30" s="165"/>
      <c r="L30" s="586"/>
      <c r="M30" s="586"/>
      <c r="N30" s="585"/>
      <c r="O30" s="585"/>
      <c r="P30" s="585"/>
      <c r="Q30" s="165"/>
      <c r="R30" s="165"/>
      <c r="S30" s="165"/>
      <c r="T30" s="166"/>
    </row>
    <row r="31" spans="1:20" ht="6" customHeight="1" x14ac:dyDescent="0.2">
      <c r="A31" s="167"/>
      <c r="B31" s="165"/>
      <c r="C31" s="165"/>
      <c r="D31" s="165"/>
      <c r="E31" s="165"/>
      <c r="F31" s="165"/>
      <c r="G31" s="165"/>
      <c r="H31" s="165"/>
      <c r="I31" s="165"/>
      <c r="J31" s="165"/>
      <c r="K31" s="165"/>
      <c r="L31" s="586"/>
      <c r="M31" s="586"/>
      <c r="N31" s="585"/>
      <c r="O31" s="585"/>
      <c r="P31" s="585"/>
      <c r="Q31" s="165"/>
      <c r="R31" s="165"/>
      <c r="S31" s="165"/>
      <c r="T31" s="166"/>
    </row>
    <row r="32" spans="1:20" ht="24" customHeight="1" x14ac:dyDescent="0.2">
      <c r="A32" s="167" t="s">
        <v>257</v>
      </c>
      <c r="B32" s="165" t="s">
        <v>410</v>
      </c>
      <c r="C32" s="165"/>
      <c r="D32" s="165"/>
      <c r="E32" s="165"/>
      <c r="H32" s="281"/>
      <c r="I32" s="170" t="s">
        <v>405</v>
      </c>
      <c r="J32" s="165"/>
      <c r="K32" s="165"/>
      <c r="L32" s="587" t="s">
        <v>411</v>
      </c>
      <c r="M32" s="587"/>
      <c r="N32" s="587">
        <v>120</v>
      </c>
      <c r="O32" s="587"/>
      <c r="P32" s="587"/>
      <c r="Q32" s="165"/>
      <c r="R32" s="165"/>
      <c r="S32" s="165"/>
      <c r="T32" s="166"/>
    </row>
    <row r="33" spans="1:20" ht="6" customHeight="1" x14ac:dyDescent="0.2">
      <c r="A33" s="167"/>
      <c r="B33" s="165"/>
      <c r="C33" s="165"/>
      <c r="D33" s="165"/>
      <c r="E33" s="165"/>
      <c r="F33" s="165"/>
      <c r="G33" s="165"/>
      <c r="H33" s="165"/>
      <c r="I33" s="165"/>
      <c r="J33" s="165"/>
      <c r="K33" s="165"/>
      <c r="L33" s="599"/>
      <c r="M33" s="599"/>
      <c r="N33" s="587"/>
      <c r="O33" s="587"/>
      <c r="P33" s="587"/>
      <c r="Q33" s="165"/>
      <c r="R33" s="165"/>
      <c r="S33" s="165"/>
      <c r="T33" s="166"/>
    </row>
    <row r="34" spans="1:20" ht="15" customHeight="1" x14ac:dyDescent="0.2">
      <c r="A34" s="167" t="s">
        <v>70</v>
      </c>
      <c r="B34" s="165" t="s">
        <v>412</v>
      </c>
      <c r="C34" s="165"/>
      <c r="D34" s="165"/>
      <c r="E34" s="165"/>
      <c r="F34" s="165"/>
      <c r="G34" s="165"/>
      <c r="H34" s="165"/>
      <c r="I34" s="165"/>
      <c r="J34" s="165"/>
      <c r="K34" s="165"/>
      <c r="L34" s="588" t="s">
        <v>413</v>
      </c>
      <c r="M34" s="588"/>
      <c r="N34" s="588">
        <v>100</v>
      </c>
      <c r="O34" s="588"/>
      <c r="P34" s="588"/>
      <c r="Q34" s="165"/>
      <c r="R34" s="165"/>
      <c r="S34" s="165"/>
      <c r="T34" s="166"/>
    </row>
    <row r="35" spans="1:20" ht="6" customHeight="1" x14ac:dyDescent="0.2">
      <c r="A35" s="167"/>
      <c r="B35" s="165"/>
      <c r="C35" s="165"/>
      <c r="D35" s="165"/>
      <c r="E35" s="165"/>
      <c r="F35" s="165"/>
      <c r="G35" s="165"/>
      <c r="H35" s="165"/>
      <c r="I35" s="165"/>
      <c r="J35" s="165"/>
      <c r="K35" s="165"/>
      <c r="L35" s="588"/>
      <c r="M35" s="588"/>
      <c r="N35" s="588"/>
      <c r="O35" s="588"/>
      <c r="P35" s="588"/>
      <c r="Q35" s="165"/>
      <c r="R35" s="165"/>
      <c r="S35" s="165"/>
      <c r="T35" s="166"/>
    </row>
    <row r="36" spans="1:20" ht="24" customHeight="1" x14ac:dyDescent="0.2">
      <c r="A36" s="167"/>
      <c r="B36" s="169" t="str">
        <f>H30</f>
        <v/>
      </c>
      <c r="C36" s="164" t="s">
        <v>55</v>
      </c>
      <c r="D36" s="567" t="str">
        <f>IF(ISBLANK(F30),"",MAX(H17,Q17))</f>
        <v/>
      </c>
      <c r="E36" s="568"/>
      <c r="F36" s="175" t="s">
        <v>414</v>
      </c>
      <c r="G36" s="567" t="str">
        <f>IF(ISBLANK(F30),"",B36*D36)</f>
        <v/>
      </c>
      <c r="H36" s="568"/>
      <c r="I36" s="165" t="s">
        <v>402</v>
      </c>
      <c r="J36" s="165"/>
      <c r="K36" s="165"/>
      <c r="L36" s="587" t="s">
        <v>278</v>
      </c>
      <c r="M36" s="587"/>
      <c r="N36" s="587">
        <v>90</v>
      </c>
      <c r="O36" s="587"/>
      <c r="P36" s="587"/>
      <c r="Q36" s="165"/>
      <c r="R36" s="165"/>
      <c r="S36" s="165"/>
      <c r="T36" s="166"/>
    </row>
    <row r="37" spans="1:20" ht="6" customHeight="1" x14ac:dyDescent="0.2">
      <c r="A37" s="167"/>
      <c r="B37" s="165"/>
      <c r="C37" s="165"/>
      <c r="D37" s="165"/>
      <c r="E37" s="165"/>
      <c r="F37" s="165"/>
      <c r="G37" s="165"/>
      <c r="H37" s="165"/>
      <c r="I37" s="165"/>
      <c r="J37" s="165"/>
      <c r="K37" s="165"/>
      <c r="L37" s="587"/>
      <c r="M37" s="587"/>
      <c r="N37" s="587"/>
      <c r="O37" s="587"/>
      <c r="P37" s="587"/>
      <c r="Q37" s="165"/>
      <c r="R37" s="165"/>
      <c r="S37" s="165"/>
      <c r="T37" s="166"/>
    </row>
    <row r="38" spans="1:20" ht="18.75" customHeight="1" x14ac:dyDescent="0.2">
      <c r="A38" s="176" t="s">
        <v>246</v>
      </c>
      <c r="B38" s="594" t="s">
        <v>563</v>
      </c>
      <c r="C38" s="595"/>
      <c r="D38" s="595"/>
      <c r="E38" s="595"/>
      <c r="F38" s="595"/>
      <c r="G38" s="595"/>
      <c r="H38" s="595"/>
      <c r="I38" s="595"/>
      <c r="J38" s="595"/>
      <c r="K38" s="595"/>
      <c r="L38" s="595"/>
      <c r="M38" s="595"/>
      <c r="N38" s="595"/>
      <c r="O38" s="595"/>
      <c r="P38" s="595"/>
      <c r="Q38" s="595"/>
      <c r="R38" s="595"/>
      <c r="S38" s="595"/>
      <c r="T38" s="596"/>
    </row>
    <row r="39" spans="1:20" ht="6" customHeight="1" x14ac:dyDescent="0.2">
      <c r="A39" s="167"/>
      <c r="B39" s="165"/>
      <c r="C39" s="165"/>
      <c r="D39" s="165"/>
      <c r="E39" s="165"/>
      <c r="F39" s="165"/>
      <c r="G39" s="165"/>
      <c r="H39" s="165"/>
      <c r="I39" s="165"/>
      <c r="J39" s="165"/>
      <c r="K39" s="165"/>
      <c r="L39" s="165"/>
      <c r="M39" s="165"/>
      <c r="N39" s="165"/>
      <c r="O39" s="165"/>
      <c r="P39" s="165"/>
      <c r="Q39" s="165"/>
      <c r="R39" s="165"/>
      <c r="S39" s="165"/>
      <c r="T39" s="166"/>
    </row>
    <row r="40" spans="1:20" ht="24" customHeight="1" x14ac:dyDescent="0.2">
      <c r="A40" s="167"/>
      <c r="B40" s="169" t="str">
        <f>G36</f>
        <v/>
      </c>
      <c r="C40" s="261" t="s">
        <v>669</v>
      </c>
      <c r="D40" s="171" t="str">
        <f>IF(ISBLANK(F30),"",H32)</f>
        <v/>
      </c>
      <c r="E40" s="217" t="s">
        <v>520</v>
      </c>
      <c r="F40" s="591" t="str">
        <f>IF(ISBLANK(F30),"",B40*D40)</f>
        <v/>
      </c>
      <c r="G40" s="593"/>
      <c r="H40" s="165" t="s">
        <v>415</v>
      </c>
      <c r="I40" s="218" t="s">
        <v>564</v>
      </c>
      <c r="M40" s="204"/>
      <c r="N40" s="204"/>
      <c r="O40" s="165"/>
      <c r="P40" s="165"/>
      <c r="Q40" s="165"/>
      <c r="R40" s="165"/>
      <c r="S40" s="165"/>
      <c r="T40" s="166"/>
    </row>
    <row r="41" spans="1:20" ht="6" customHeight="1" x14ac:dyDescent="0.2">
      <c r="A41" s="178"/>
      <c r="B41" s="172"/>
      <c r="C41" s="399"/>
      <c r="D41" s="394"/>
      <c r="E41" s="398"/>
      <c r="F41" s="396"/>
      <c r="G41" s="396"/>
      <c r="H41" s="170"/>
      <c r="I41" s="218"/>
      <c r="M41" s="204"/>
      <c r="N41" s="204"/>
      <c r="O41" s="165"/>
      <c r="P41" s="165"/>
      <c r="Q41" s="165"/>
      <c r="R41" s="165"/>
      <c r="S41" s="165"/>
      <c r="T41" s="166"/>
    </row>
    <row r="42" spans="1:20" ht="6" customHeight="1" x14ac:dyDescent="0.2">
      <c r="A42" s="167"/>
      <c r="B42" s="165"/>
      <c r="C42" s="165"/>
      <c r="D42" s="165"/>
      <c r="E42" s="165"/>
      <c r="F42" s="165"/>
      <c r="G42" s="165"/>
      <c r="H42" s="165"/>
      <c r="I42" s="165"/>
      <c r="J42" s="165"/>
      <c r="K42" s="165"/>
      <c r="L42" s="165"/>
      <c r="M42" s="165"/>
      <c r="N42" s="165"/>
      <c r="O42" s="165"/>
      <c r="P42" s="165"/>
      <c r="Q42" s="165"/>
      <c r="R42" s="165"/>
      <c r="S42" s="165"/>
      <c r="T42" s="166"/>
    </row>
    <row r="43" spans="1:20" s="216" customFormat="1" ht="19.5" x14ac:dyDescent="0.2">
      <c r="A43" s="173" t="s">
        <v>416</v>
      </c>
      <c r="B43" s="174"/>
      <c r="C43" s="174"/>
      <c r="D43" s="174"/>
      <c r="E43" s="174"/>
      <c r="F43" s="174"/>
      <c r="G43" s="174"/>
      <c r="H43" s="174"/>
      <c r="I43" s="174"/>
      <c r="J43" s="174"/>
      <c r="K43" s="174"/>
      <c r="L43" s="174"/>
      <c r="M43" s="174"/>
      <c r="N43" s="174"/>
      <c r="O43" s="174"/>
      <c r="P43" s="174"/>
      <c r="Q43" s="174"/>
      <c r="R43" s="174"/>
      <c r="S43" s="174"/>
      <c r="T43" s="215"/>
    </row>
    <row r="44" spans="1:20" ht="6" customHeight="1" x14ac:dyDescent="0.2">
      <c r="A44" s="167"/>
      <c r="B44" s="165"/>
      <c r="C44" s="165"/>
      <c r="D44" s="165"/>
      <c r="E44" s="165"/>
      <c r="F44" s="165"/>
      <c r="G44" s="165"/>
      <c r="H44" s="165"/>
      <c r="I44" s="165"/>
      <c r="J44" s="165"/>
      <c r="K44" s="165"/>
      <c r="L44" s="165"/>
      <c r="M44" s="165"/>
      <c r="N44" s="165"/>
      <c r="O44" s="165"/>
      <c r="P44" s="165"/>
      <c r="Q44" s="165"/>
      <c r="R44" s="165"/>
      <c r="S44" s="165"/>
      <c r="T44" s="166"/>
    </row>
    <row r="45" spans="1:20" ht="20.25" customHeight="1" x14ac:dyDescent="0.2">
      <c r="A45" s="163"/>
      <c r="B45" s="261" t="s">
        <v>562</v>
      </c>
      <c r="C45" s="165"/>
      <c r="D45" s="165"/>
      <c r="E45" s="165"/>
      <c r="F45" s="165"/>
      <c r="G45" s="165"/>
      <c r="H45" s="165"/>
      <c r="I45" s="165"/>
      <c r="J45" s="165"/>
      <c r="K45" s="165"/>
      <c r="L45" s="165"/>
      <c r="M45" s="170"/>
      <c r="N45" s="170"/>
      <c r="O45" s="170"/>
      <c r="P45" s="170"/>
      <c r="Q45" s="170"/>
      <c r="R45" s="170"/>
      <c r="S45" s="170"/>
      <c r="T45" s="219"/>
    </row>
    <row r="46" spans="1:20" ht="6" customHeight="1" x14ac:dyDescent="0.2">
      <c r="A46" s="167"/>
      <c r="B46" s="165"/>
      <c r="C46" s="165"/>
      <c r="D46" s="165"/>
      <c r="E46" s="165"/>
      <c r="F46" s="165"/>
      <c r="G46" s="165"/>
      <c r="H46" s="165"/>
      <c r="I46" s="165"/>
      <c r="J46" s="165"/>
      <c r="K46" s="165"/>
      <c r="L46" s="165"/>
      <c r="M46" s="170"/>
      <c r="N46" s="170"/>
      <c r="O46" s="170"/>
      <c r="P46" s="170"/>
      <c r="Q46" s="170"/>
      <c r="R46" s="170"/>
      <c r="S46" s="170"/>
      <c r="T46" s="219"/>
    </row>
    <row r="47" spans="1:20" ht="24" customHeight="1" x14ac:dyDescent="0.2">
      <c r="A47" s="163"/>
      <c r="B47" s="589" t="str">
        <f>IF(ISBLANK(F30),"",MAX(H21,R21))</f>
        <v/>
      </c>
      <c r="C47" s="564"/>
      <c r="D47" s="597" t="s">
        <v>417</v>
      </c>
      <c r="E47" s="569"/>
      <c r="F47" s="569"/>
      <c r="G47" s="598"/>
      <c r="H47" s="591" t="str">
        <f>IF(ISBLANK(I8),"",B47*62.4*1.2)</f>
        <v/>
      </c>
      <c r="I47" s="593"/>
      <c r="J47" s="165" t="s">
        <v>415</v>
      </c>
      <c r="K47" s="165"/>
      <c r="L47" s="220"/>
      <c r="M47" s="185"/>
      <c r="N47" s="170"/>
      <c r="O47" s="184"/>
      <c r="P47" s="604"/>
      <c r="Q47" s="604"/>
      <c r="R47" s="170"/>
      <c r="S47" s="602"/>
      <c r="T47" s="603"/>
    </row>
    <row r="48" spans="1:20" ht="6" customHeight="1" x14ac:dyDescent="0.2">
      <c r="A48" s="167"/>
      <c r="B48" s="165"/>
      <c r="C48" s="165"/>
      <c r="D48" s="165"/>
      <c r="E48" s="165"/>
      <c r="F48" s="165"/>
      <c r="G48" s="165"/>
      <c r="H48" s="165"/>
      <c r="I48" s="165"/>
      <c r="J48" s="165"/>
      <c r="K48" s="165"/>
      <c r="L48" s="165"/>
      <c r="M48" s="165"/>
      <c r="N48" s="165"/>
      <c r="O48" s="165"/>
      <c r="P48" s="165"/>
      <c r="Q48" s="165"/>
      <c r="R48" s="165"/>
      <c r="S48" s="165"/>
      <c r="T48" s="166"/>
    </row>
    <row r="49" spans="1:20" s="216" customFormat="1" ht="18" x14ac:dyDescent="0.2">
      <c r="A49" s="173" t="s">
        <v>418</v>
      </c>
      <c r="B49" s="174"/>
      <c r="C49" s="174"/>
      <c r="D49" s="174"/>
      <c r="E49" s="174"/>
      <c r="F49" s="174"/>
      <c r="G49" s="174"/>
      <c r="H49" s="174"/>
      <c r="I49" s="174"/>
      <c r="J49" s="174"/>
      <c r="K49" s="174"/>
      <c r="L49" s="174"/>
      <c r="M49" s="174"/>
      <c r="N49" s="174"/>
      <c r="O49" s="174"/>
      <c r="P49" s="174"/>
      <c r="Q49" s="174"/>
      <c r="R49" s="174"/>
      <c r="S49" s="174"/>
      <c r="T49" s="215"/>
    </row>
    <row r="50" spans="1:20" ht="6" customHeight="1" x14ac:dyDescent="0.2">
      <c r="A50" s="167"/>
      <c r="B50" s="165"/>
      <c r="C50" s="165"/>
      <c r="D50" s="165"/>
      <c r="E50" s="165"/>
      <c r="F50" s="165"/>
      <c r="G50" s="165"/>
      <c r="H50" s="165"/>
      <c r="I50" s="165"/>
      <c r="J50" s="165"/>
      <c r="K50" s="165"/>
      <c r="L50" s="165"/>
      <c r="M50" s="165"/>
      <c r="N50" s="165"/>
      <c r="O50" s="165"/>
      <c r="P50" s="165"/>
      <c r="Q50" s="165"/>
      <c r="R50" s="165"/>
      <c r="S50" s="165"/>
      <c r="T50" s="166"/>
    </row>
    <row r="51" spans="1:20" ht="19.5" customHeight="1" x14ac:dyDescent="0.2">
      <c r="A51" s="176" t="s">
        <v>68</v>
      </c>
      <c r="B51" s="401" t="s">
        <v>419</v>
      </c>
      <c r="C51" s="165"/>
      <c r="D51" s="165"/>
      <c r="E51" s="165"/>
      <c r="F51" s="165"/>
      <c r="G51" s="165"/>
      <c r="H51" s="165"/>
      <c r="I51" s="165"/>
      <c r="J51" s="165"/>
      <c r="K51" s="165"/>
      <c r="L51" s="165"/>
      <c r="M51" s="165"/>
      <c r="N51" s="165"/>
      <c r="O51" s="165"/>
      <c r="P51" s="165"/>
      <c r="Q51" s="165"/>
      <c r="R51" s="165"/>
      <c r="S51" s="165"/>
      <c r="T51" s="166"/>
    </row>
    <row r="52" spans="1:20" ht="6" customHeight="1" x14ac:dyDescent="0.2">
      <c r="A52" s="167"/>
      <c r="B52" s="165"/>
      <c r="C52" s="165"/>
      <c r="D52" s="165"/>
      <c r="E52" s="165"/>
      <c r="F52" s="165"/>
      <c r="G52" s="165"/>
      <c r="H52" s="165"/>
      <c r="I52" s="165"/>
      <c r="J52" s="165"/>
      <c r="K52" s="165"/>
      <c r="L52" s="165"/>
      <c r="M52" s="165"/>
      <c r="N52" s="165"/>
      <c r="O52" s="165"/>
      <c r="P52" s="165"/>
      <c r="Q52" s="165"/>
      <c r="R52" s="165"/>
      <c r="S52" s="165"/>
      <c r="T52" s="166"/>
    </row>
    <row r="53" spans="1:20" ht="24" customHeight="1" x14ac:dyDescent="0.2">
      <c r="A53" s="167"/>
      <c r="B53" s="589" t="str">
        <f>IF(ISBLANK(I8),"",H25)</f>
        <v/>
      </c>
      <c r="C53" s="590"/>
      <c r="D53" s="177" t="s">
        <v>420</v>
      </c>
      <c r="E53" s="589" t="str">
        <f>F40</f>
        <v/>
      </c>
      <c r="F53" s="590"/>
      <c r="G53" s="177" t="s">
        <v>421</v>
      </c>
      <c r="H53" s="591" t="str">
        <f>IF(ISBLANK(I8),"",B53+E53)</f>
        <v/>
      </c>
      <c r="I53" s="592"/>
      <c r="J53" s="605" t="s">
        <v>415</v>
      </c>
      <c r="K53" s="605"/>
      <c r="L53" s="165"/>
      <c r="M53" s="165"/>
      <c r="N53" s="165"/>
      <c r="O53" s="165"/>
      <c r="P53" s="165"/>
      <c r="Q53" s="165"/>
      <c r="R53" s="165"/>
      <c r="S53" s="165"/>
      <c r="T53" s="166"/>
    </row>
    <row r="54" spans="1:20" ht="6" customHeight="1" x14ac:dyDescent="0.2">
      <c r="A54" s="167"/>
      <c r="B54" s="165"/>
      <c r="C54" s="165"/>
      <c r="D54" s="165"/>
      <c r="E54" s="165"/>
      <c r="F54" s="165"/>
      <c r="G54" s="165"/>
      <c r="H54" s="165"/>
      <c r="I54" s="165"/>
      <c r="J54" s="165"/>
      <c r="K54" s="165"/>
      <c r="L54" s="165"/>
      <c r="M54" s="165"/>
      <c r="N54" s="165"/>
      <c r="O54" s="165"/>
      <c r="P54" s="165"/>
      <c r="Q54" s="165"/>
      <c r="R54" s="165"/>
      <c r="S54" s="165"/>
      <c r="T54" s="166"/>
    </row>
    <row r="55" spans="1:20" ht="15" customHeight="1" x14ac:dyDescent="0.2">
      <c r="A55" s="397" t="s">
        <v>257</v>
      </c>
      <c r="B55" s="165" t="s">
        <v>422</v>
      </c>
      <c r="C55" s="165"/>
      <c r="D55" s="165"/>
      <c r="E55" s="165"/>
      <c r="F55" s="165"/>
      <c r="G55" s="165"/>
      <c r="H55" s="165"/>
      <c r="I55" s="165"/>
      <c r="J55" s="165"/>
      <c r="K55" s="165"/>
      <c r="L55" s="165"/>
      <c r="M55" s="165"/>
      <c r="N55" s="165"/>
      <c r="O55" s="165"/>
      <c r="P55" s="165"/>
      <c r="Q55" s="165"/>
      <c r="R55" s="165"/>
      <c r="S55" s="165"/>
      <c r="T55" s="166"/>
    </row>
    <row r="56" spans="1:20" ht="6" customHeight="1" x14ac:dyDescent="0.2">
      <c r="A56" s="167"/>
      <c r="B56" s="165"/>
      <c r="C56" s="165"/>
      <c r="D56" s="165"/>
      <c r="E56" s="165"/>
      <c r="F56" s="165"/>
      <c r="G56" s="165"/>
      <c r="H56" s="165"/>
      <c r="I56" s="165"/>
      <c r="J56" s="165"/>
      <c r="K56" s="165"/>
      <c r="L56" s="165"/>
      <c r="M56" s="165"/>
      <c r="N56" s="165"/>
      <c r="O56" s="165"/>
      <c r="P56" s="165"/>
      <c r="Q56" s="165"/>
      <c r="R56" s="165"/>
      <c r="S56" s="165"/>
      <c r="T56" s="166"/>
    </row>
    <row r="57" spans="1:20" ht="24" customHeight="1" x14ac:dyDescent="0.2">
      <c r="A57" s="167"/>
      <c r="B57" s="589" t="str">
        <f>H53</f>
        <v/>
      </c>
      <c r="C57" s="564"/>
      <c r="D57" s="164" t="s">
        <v>423</v>
      </c>
      <c r="E57" s="589" t="str">
        <f>H47</f>
        <v/>
      </c>
      <c r="F57" s="564"/>
      <c r="G57" s="164" t="s">
        <v>421</v>
      </c>
      <c r="H57" s="591" t="str">
        <f>IF(ISBLANK(I8),"",B57-E57)</f>
        <v/>
      </c>
      <c r="I57" s="593"/>
      <c r="J57" s="165" t="s">
        <v>415</v>
      </c>
      <c r="K57" s="165"/>
      <c r="L57" s="165"/>
      <c r="M57" s="165"/>
      <c r="N57" s="165"/>
      <c r="O57" s="165"/>
      <c r="P57" s="165"/>
      <c r="Q57" s="165"/>
      <c r="R57" s="165"/>
      <c r="S57" s="165"/>
      <c r="T57" s="166"/>
    </row>
    <row r="58" spans="1:20" ht="6" customHeight="1" x14ac:dyDescent="0.2">
      <c r="A58" s="167"/>
      <c r="B58" s="165"/>
      <c r="C58" s="165"/>
      <c r="D58" s="165"/>
      <c r="E58" s="165"/>
      <c r="F58" s="165"/>
      <c r="G58" s="165"/>
      <c r="H58" s="165"/>
      <c r="I58" s="165"/>
      <c r="J58" s="165"/>
      <c r="K58" s="165"/>
      <c r="L58" s="165"/>
      <c r="M58" s="165"/>
      <c r="N58" s="165"/>
      <c r="O58" s="165"/>
      <c r="P58" s="165"/>
      <c r="Q58" s="165"/>
      <c r="R58" s="165"/>
      <c r="S58" s="165"/>
      <c r="T58" s="166"/>
    </row>
    <row r="59" spans="1:20" ht="15" customHeight="1" x14ac:dyDescent="0.2">
      <c r="A59" s="178"/>
      <c r="B59" s="595" t="s">
        <v>424</v>
      </c>
      <c r="C59" s="595"/>
      <c r="D59" s="595"/>
      <c r="E59" s="595"/>
      <c r="F59" s="595"/>
      <c r="G59" s="595"/>
      <c r="H59" s="595"/>
      <c r="I59" s="595"/>
      <c r="J59" s="595"/>
      <c r="K59" s="595"/>
      <c r="L59" s="595"/>
      <c r="M59" s="595"/>
      <c r="N59" s="595"/>
      <c r="O59" s="595"/>
      <c r="P59" s="595"/>
      <c r="Q59" s="595"/>
      <c r="R59" s="595"/>
      <c r="S59" s="595"/>
      <c r="T59" s="596"/>
    </row>
    <row r="60" spans="1:20" ht="84" customHeight="1" x14ac:dyDescent="0.2">
      <c r="A60" s="178"/>
      <c r="B60" s="582" t="s">
        <v>425</v>
      </c>
      <c r="C60" s="583"/>
      <c r="D60" s="583"/>
      <c r="E60" s="583"/>
      <c r="F60" s="583"/>
      <c r="G60" s="583"/>
      <c r="H60" s="583"/>
      <c r="I60" s="583"/>
      <c r="J60" s="583"/>
      <c r="K60" s="583"/>
      <c r="L60" s="583"/>
      <c r="M60" s="583"/>
      <c r="N60" s="583"/>
      <c r="O60" s="583"/>
      <c r="P60" s="583"/>
      <c r="Q60" s="583"/>
      <c r="R60" s="583"/>
      <c r="S60" s="584"/>
      <c r="T60" s="196"/>
    </row>
    <row r="61" spans="1:20" ht="18.75" thickBot="1" x14ac:dyDescent="0.25">
      <c r="A61" s="221"/>
      <c r="B61" s="222"/>
      <c r="C61" s="222"/>
      <c r="D61" s="222"/>
      <c r="E61" s="222"/>
      <c r="F61" s="222"/>
      <c r="G61" s="222"/>
      <c r="H61" s="222"/>
      <c r="I61" s="222"/>
      <c r="J61" s="222"/>
      <c r="K61" s="222"/>
      <c r="L61" s="222"/>
      <c r="M61" s="222"/>
      <c r="N61" s="222"/>
      <c r="O61" s="222"/>
      <c r="P61" s="222"/>
      <c r="Q61" s="222"/>
      <c r="R61" s="222"/>
      <c r="S61" s="222"/>
      <c r="T61" s="223"/>
    </row>
    <row r="62" spans="1:20" ht="18" x14ac:dyDescent="0.2">
      <c r="A62" s="165"/>
      <c r="B62" s="165"/>
      <c r="C62" s="165"/>
      <c r="D62" s="165"/>
      <c r="E62" s="165"/>
      <c r="F62" s="165"/>
      <c r="G62" s="165"/>
      <c r="H62" s="165"/>
      <c r="I62" s="165"/>
      <c r="J62" s="165"/>
      <c r="K62" s="165"/>
      <c r="L62" s="165"/>
      <c r="M62" s="165"/>
      <c r="N62" s="165"/>
      <c r="O62" s="165"/>
      <c r="P62" s="165"/>
      <c r="Q62" s="165"/>
      <c r="R62" s="165"/>
      <c r="S62" s="165"/>
      <c r="T62" s="165"/>
    </row>
  </sheetData>
  <sheetProtection sheet="1" objects="1" scenarios="1"/>
  <customSheetViews>
    <customSheetView guid="{D1431318-1DB8-4C45-813B-5A8065DFC797}" scale="90" showPageBreaks="1" fitToPage="1" printArea="1" view="pageBreakPreview">
      <selection activeCell="L46" sqref="L46"/>
      <pageMargins left="0.25" right="0.2" top="0.3" bottom="0.75" header="0.3" footer="0.3"/>
      <printOptions horizontalCentered="1"/>
      <pageSetup scale="69" orientation="portrait" blackAndWhite="1" r:id="rId1"/>
    </customSheetView>
  </customSheetViews>
  <mergeCells count="52">
    <mergeCell ref="A23:J23"/>
    <mergeCell ref="F40:G40"/>
    <mergeCell ref="N17:O17"/>
    <mergeCell ref="Q17:R17"/>
    <mergeCell ref="H21:I21"/>
    <mergeCell ref="L21:M21"/>
    <mergeCell ref="O21:P21"/>
    <mergeCell ref="R21:S21"/>
    <mergeCell ref="B21:C21"/>
    <mergeCell ref="E21:F21"/>
    <mergeCell ref="B59:T59"/>
    <mergeCell ref="H25:I25"/>
    <mergeCell ref="S47:T47"/>
    <mergeCell ref="L34:M35"/>
    <mergeCell ref="D36:E36"/>
    <mergeCell ref="G36:H36"/>
    <mergeCell ref="L36:M37"/>
    <mergeCell ref="P47:Q47"/>
    <mergeCell ref="J53:K53"/>
    <mergeCell ref="B47:C47"/>
    <mergeCell ref="B60:S60"/>
    <mergeCell ref="N28:P31"/>
    <mergeCell ref="L28:M31"/>
    <mergeCell ref="N36:P37"/>
    <mergeCell ref="N34:P35"/>
    <mergeCell ref="N32:P33"/>
    <mergeCell ref="B53:C53"/>
    <mergeCell ref="E53:F53"/>
    <mergeCell ref="H53:I53"/>
    <mergeCell ref="B57:C57"/>
    <mergeCell ref="E57:F57"/>
    <mergeCell ref="H57:I57"/>
    <mergeCell ref="B38:T38"/>
    <mergeCell ref="D47:G47"/>
    <mergeCell ref="H47:I47"/>
    <mergeCell ref="L32:M33"/>
    <mergeCell ref="E1:O1"/>
    <mergeCell ref="E4:J4"/>
    <mergeCell ref="N4:S4"/>
    <mergeCell ref="K8:M8"/>
    <mergeCell ref="K10:M10"/>
    <mergeCell ref="H2:I2"/>
    <mergeCell ref="J2:K2"/>
    <mergeCell ref="S2:T2"/>
    <mergeCell ref="N6:R6"/>
    <mergeCell ref="A12:T12"/>
    <mergeCell ref="A13:J13"/>
    <mergeCell ref="K13:T13"/>
    <mergeCell ref="B17:C17"/>
    <mergeCell ref="E17:F17"/>
    <mergeCell ref="H17:I17"/>
    <mergeCell ref="L17:M17"/>
  </mergeCells>
  <printOptions horizontalCentered="1"/>
  <pageMargins left="0.25" right="0.2" top="0.3" bottom="0.75" header="0.3" footer="0.3"/>
  <pageSetup scale="72" orientation="portrait" blackAndWhite="1" r:id="rId2"/>
  <drawing r:id="rId3"/>
  <extLst>
    <ext xmlns:x14="http://schemas.microsoft.com/office/spreadsheetml/2009/9/main" uri="{CCE6A557-97BC-4b89-ADB6-D9C93CAAB3DF}">
      <x14:dataValidations xmlns:xm="http://schemas.microsoft.com/office/excel/2006/main" disablePrompts="1" count="1">
        <x14:dataValidation type="list" errorStyle="information" allowBlank="1" showInputMessage="1" showErrorMessage="1" prompt="Tank Useage" xr:uid="{00000000-0002-0000-0400-000000000000}">
          <x14:formula1>
            <xm:f>'Drop-Down Lists'!$F$78:$F$83</xm:f>
          </x14:formula1>
          <xm:sqref>N6:R6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63</vt:i4>
      </vt:variant>
    </vt:vector>
  </HeadingPairs>
  <TitlesOfParts>
    <vt:vector size="68" baseType="lpstr">
      <vt:lpstr>Drop-Down Lists</vt:lpstr>
      <vt:lpstr>Pres. Dist.</vt:lpstr>
      <vt:lpstr>Pump-Basic(1) </vt:lpstr>
      <vt:lpstr>Pump Tank(1)Demand</vt:lpstr>
      <vt:lpstr>Tank Buoyancy</vt:lpstr>
      <vt:lpstr>_10___45_gpm</vt:lpstr>
      <vt:lpstr>AtGradeDown</vt:lpstr>
      <vt:lpstr>AtGradeUp</vt:lpstr>
      <vt:lpstr>Bedrooms</vt:lpstr>
      <vt:lpstr>CLR</vt:lpstr>
      <vt:lpstr>CoarseFragments</vt:lpstr>
      <vt:lpstr>DepthAlarm</vt:lpstr>
      <vt:lpstr>DepthPipe</vt:lpstr>
      <vt:lpstr>DispersalMedia</vt:lpstr>
      <vt:lpstr>DistHeadLoss</vt:lpstr>
      <vt:lpstr>DistMedia</vt:lpstr>
      <vt:lpstr>DistType</vt:lpstr>
      <vt:lpstr>EffScreen</vt:lpstr>
      <vt:lpstr>EndCenter</vt:lpstr>
      <vt:lpstr>FlowClass</vt:lpstr>
      <vt:lpstr>Gravity_Or_Pressure</vt:lpstr>
      <vt:lpstr>Hue</vt:lpstr>
      <vt:lpstr>LandscapePosition</vt:lpstr>
      <vt:lpstr>Laterals</vt:lpstr>
      <vt:lpstr>MediaDepth</vt:lpstr>
      <vt:lpstr>MediaLoadRate</vt:lpstr>
      <vt:lpstr>MinHead</vt:lpstr>
      <vt:lpstr>MoundAbsorptionRatio</vt:lpstr>
      <vt:lpstr>MPCAType</vt:lpstr>
      <vt:lpstr>Nutrients</vt:lpstr>
      <vt:lpstr>ObservationType</vt:lpstr>
      <vt:lpstr>OtherEstabType</vt:lpstr>
      <vt:lpstr>OtherEstabUnit</vt:lpstr>
      <vt:lpstr>PerfDia</vt:lpstr>
      <vt:lpstr>PerfSpace</vt:lpstr>
      <vt:lpstr>PipeDia</vt:lpstr>
      <vt:lpstr>'Drop-Down Lists'!Print_Area</vt:lpstr>
      <vt:lpstr>'Pres. Dist.'!Print_Area</vt:lpstr>
      <vt:lpstr>'Pump Tank(1)Demand'!Print_Area</vt:lpstr>
      <vt:lpstr>'Pump-Basic(1) '!Print_Area</vt:lpstr>
      <vt:lpstr>'Tank Buoyancy'!Print_Area</vt:lpstr>
      <vt:lpstr>'Pres. Dist.'!Print_Titles</vt:lpstr>
      <vt:lpstr>'Pump Tank(1)Demand'!Print_Titles</vt:lpstr>
      <vt:lpstr>PumpTankDesc</vt:lpstr>
      <vt:lpstr>PumpTankType</vt:lpstr>
      <vt:lpstr>PumpType</vt:lpstr>
      <vt:lpstr>RedoxIndicators</vt:lpstr>
      <vt:lpstr>RedoxKind</vt:lpstr>
      <vt:lpstr>Reduction</vt:lpstr>
      <vt:lpstr>RockFragments</vt:lpstr>
      <vt:lpstr>Sandy_Soil_Options</vt:lpstr>
      <vt:lpstr>SHLR</vt:lpstr>
      <vt:lpstr>SizeMult</vt:lpstr>
      <vt:lpstr>Slope</vt:lpstr>
      <vt:lpstr>SlopeShape</vt:lpstr>
      <vt:lpstr>SoilTexture7080</vt:lpstr>
      <vt:lpstr>SoilTextureOSTP</vt:lpstr>
      <vt:lpstr>STA</vt:lpstr>
      <vt:lpstr>StructureConsistence</vt:lpstr>
      <vt:lpstr>StructureGrade</vt:lpstr>
      <vt:lpstr>StructureShape</vt:lpstr>
      <vt:lpstr>TankSize</vt:lpstr>
      <vt:lpstr>TreatmentLevel</vt:lpstr>
      <vt:lpstr>TypeOfWastewater</vt:lpstr>
      <vt:lpstr>ValueChroma</vt:lpstr>
      <vt:lpstr>VolumePipe</vt:lpstr>
      <vt:lpstr>YN</vt:lpstr>
      <vt:lpstr>YNOptional</vt:lpstr>
    </vt:vector>
  </TitlesOfParts>
  <Manager>Sara Christopherson</Manager>
  <Company>University of Minnesota Onsite Sewage Treatment Program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SSTS Design Forms</dc:title>
  <dc:subject>Automated Design Forms for Septic System Design</dc:subject>
  <dc:creator>UMN</dc:creator>
  <cp:lastModifiedBy>Jason Walsh</cp:lastModifiedBy>
  <cp:lastPrinted>2020-09-01T12:50:37Z</cp:lastPrinted>
  <dcterms:created xsi:type="dcterms:W3CDTF">2008-02-21T14:08:28Z</dcterms:created>
  <dcterms:modified xsi:type="dcterms:W3CDTF">2021-09-09T15:47:41Z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